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 2" sheetId="1" r:id="rId1"/>
  </sheets>
  <definedNames>
    <definedName name="_xlnm.Print_Titles" localSheetId="0">'Прил 2'!$14:$14</definedName>
  </definedNames>
  <calcPr fullCalcOnLoad="1"/>
</workbook>
</file>

<file path=xl/sharedStrings.xml><?xml version="1.0" encoding="utf-8"?>
<sst xmlns="http://schemas.openxmlformats.org/spreadsheetml/2006/main" count="1238" uniqueCount="373">
  <si>
    <t>к решению Совета Южского</t>
  </si>
  <si>
    <t>муниципального района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</si>
  <si>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</si>
  <si>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</si>
  <si>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</si>
  <si>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</si>
  <si>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</si>
  <si>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</si>
  <si>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</si>
  <si>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</si>
  <si>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</si>
  <si>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</si>
  <si>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</si>
  <si>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</si>
  <si>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035</t>
  </si>
  <si>
    <t>00</t>
  </si>
  <si>
    <t>00 0 00 00000</t>
  </si>
  <si>
    <t>000</t>
  </si>
  <si>
    <t>Глава Южского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</si>
  <si>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</si>
  <si>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</si>
  <si>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08 1 01 00190</t>
  </si>
  <si>
    <t>100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</si>
  <si>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</si>
  <si>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</si>
  <si>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08 1 02 00170</t>
  </si>
  <si>
    <t>200</t>
  </si>
  <si>
    <t>800</t>
  </si>
  <si>
    <t>08 1 04 80360</t>
  </si>
  <si>
    <t>05</t>
  </si>
  <si>
    <t>31 9 00 51200</t>
  </si>
  <si>
    <t>500</t>
  </si>
  <si>
    <t>11</t>
  </si>
  <si>
    <t>13</t>
  </si>
  <si>
    <t>02 2 01 20120</t>
  </si>
  <si>
    <t>04 2 01 20300</t>
  </si>
  <si>
    <t xml:space="preserve">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 и иным некоммерческим организациям) </t>
  </si>
  <si>
    <t>07 5 01 60060</t>
  </si>
  <si>
    <t>600</t>
  </si>
  <si>
    <t>08 1 04 80350</t>
  </si>
  <si>
    <t>08 2 01 00310</t>
  </si>
  <si>
    <t>08 3 04 20630</t>
  </si>
  <si>
    <t>31 9 00 80370</t>
  </si>
  <si>
    <t xml:space="preserve">Субсидии муниципальному унитарному предприятию на возмещение затрат по содержанию плотины на р.Пионерка (оз.Вазаль) (Иные бюджетные ассигнования) </t>
  </si>
  <si>
    <t>06</t>
  </si>
  <si>
    <t>02 8 01 60070</t>
  </si>
  <si>
    <t>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(Иные бюджетные ассигнования)</t>
  </si>
  <si>
    <t>08</t>
  </si>
  <si>
    <t>02 4 01 60010</t>
  </si>
  <si>
    <t>09</t>
  </si>
  <si>
    <t>02 1 02 20100</t>
  </si>
  <si>
    <t>02 1 02 20110</t>
  </si>
  <si>
    <t>12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</si>
  <si>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по аренде выставочных площадей для участия в выставочно-ярморочных мероприятиях (Иные бюджетные ассигнования)</t>
  </si>
  <si>
    <t>05 1 01 60020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</si>
  <si>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(Иные бюджетные ассигнования)</t>
  </si>
  <si>
    <t>05 1 01 60030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</si>
  <si>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предпринимательства, связанных с оплатой услуг по сертификации (Иные бюджетные ассигнования)</t>
  </si>
  <si>
    <t>05 1 01 60040</t>
  </si>
  <si>
    <t>03</t>
  </si>
  <si>
    <t>07</t>
  </si>
  <si>
    <t>03 2 01 00140</t>
  </si>
  <si>
    <t>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</si>
  <si>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01 4 01 20040</t>
  </si>
  <si>
    <t>01 5 01 20060</t>
  </si>
  <si>
    <t>01 7 01 20080</t>
  </si>
  <si>
    <t>04 1 01 00380</t>
  </si>
  <si>
    <t>Организация и проведение мероприятий по работе с детьми и молодёжью (Иные бюджетные ассигнования)</t>
  </si>
  <si>
    <t>04 2 01 20290</t>
  </si>
  <si>
    <t>04 3 01 20310</t>
  </si>
  <si>
    <t>04 3 01 20320</t>
  </si>
  <si>
    <t>04 5 01 20340</t>
  </si>
  <si>
    <t>09 2 01 20680</t>
  </si>
  <si>
    <t>09 2 01 20700</t>
  </si>
  <si>
    <t>03 1 01 00360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</si>
  <si>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</si>
  <si>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</si>
  <si>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</si>
  <si>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03 1 02 80340</t>
  </si>
  <si>
    <t>03 3 01 20200</t>
  </si>
  <si>
    <t>03 3 01 20210</t>
  </si>
  <si>
    <t>03 5 01 20230</t>
  </si>
  <si>
    <t>03 8 01 20270</t>
  </si>
  <si>
    <t>07 1 02 20460</t>
  </si>
  <si>
    <t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(Предоставление субсидий бюджетным, автономным учреждениям и иным некоммерческим организациям)</t>
  </si>
  <si>
    <t>10</t>
  </si>
  <si>
    <t>09 1 01 20660</t>
  </si>
  <si>
    <t>31 9 00 70040</t>
  </si>
  <si>
    <t>300</t>
  </si>
  <si>
    <t>02 5 01 L0200</t>
  </si>
  <si>
    <t>04 4 01 20330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</si>
  <si>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</si>
  <si>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</si>
  <si>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</si>
  <si>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</si>
  <si>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</si>
  <si>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</si>
  <si>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 (Иные бюджетные ассигнования)</t>
  </si>
  <si>
    <t>039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</si>
  <si>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</si>
  <si>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</si>
  <si>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</si>
  <si>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</si>
  <si>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01 1 03 80100</t>
  </si>
  <si>
    <t>01 1 01 80170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</si>
  <si>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</si>
  <si>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</si>
  <si>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</si>
  <si>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</si>
  <si>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01 2 01 80150</t>
  </si>
  <si>
    <t>01 2 03 20990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</si>
  <si>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</si>
  <si>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</si>
  <si>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</si>
  <si>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аппаратурой спутниковой навигации ГЛОНАСС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</si>
  <si>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</si>
  <si>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07 1 01 20440</t>
  </si>
  <si>
    <t>07 1 02 20450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</si>
  <si>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</si>
  <si>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</si>
  <si>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</si>
  <si>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</si>
  <si>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</si>
  <si>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01 4 01 80190</t>
  </si>
  <si>
    <t>01 4 02 80200</t>
  </si>
  <si>
    <t>01 5 01 20050</t>
  </si>
  <si>
    <t>04 2 01 20280</t>
  </si>
  <si>
    <t>Поддержка талантливой молодежи, участие сборной молодежной команды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</si>
  <si>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04 5 01 20350</t>
  </si>
  <si>
    <t>02 2 01 20140</t>
  </si>
  <si>
    <t>01 8 01 00090</t>
  </si>
  <si>
    <t>09 2 01 20670</t>
  </si>
  <si>
    <t>09 2 01 20690</t>
  </si>
  <si>
    <t>01 1 03 80110</t>
  </si>
  <si>
    <t>041</t>
  </si>
  <si>
    <t>05 3 01 20390</t>
  </si>
  <si>
    <t>31 9 00 00240</t>
  </si>
  <si>
    <t>05 2 01 20380</t>
  </si>
  <si>
    <t>043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</si>
  <si>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</si>
  <si>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</si>
  <si>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</si>
  <si>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05 3 01 21150</t>
  </si>
  <si>
    <t>05 3 01 21160</t>
  </si>
  <si>
    <t>08 1 05 21180</t>
  </si>
  <si>
    <t>07 1 01 20430</t>
  </si>
  <si>
    <t xml:space="preserve">Оказание поддержки сельскохозяйственным товаропроизводителям в области растениеводства (Иные бюджетные ассигнования) </t>
  </si>
  <si>
    <t xml:space="preserve">Оказание поддержки сельскохозяйственным товаропроизводителям на развитие племенного животноводства (Иные бюджетные ассигнования) </t>
  </si>
  <si>
    <t>Финансовое обеспечение деятельности структурных подразделений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</si>
  <si>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</si>
  <si>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(Иные бюджетные ассигнования)</t>
  </si>
  <si>
    <t>06 1 01 20400</t>
  </si>
  <si>
    <t>Оснащение приборами учета потребления коммунальных ресурсов муниципальных учреждений Южского муниципального района (Предоставление субсидий бюджетным, автономным учреждениям и иным некоммерческим организациям)</t>
  </si>
  <si>
    <t>03 2 02 00330</t>
  </si>
  <si>
    <t>01 3 01 00320</t>
  </si>
  <si>
    <t>05 1 02 60090</t>
  </si>
  <si>
    <t>05 1 03 60100</t>
  </si>
  <si>
    <t>01 2 03 20760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</si>
  <si>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</si>
  <si>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Содержание дорог местного значения и инженерных сооружений на них (Закупка товаров, работ и услуг для обеспечения государственных (муниципальных) нужд)</t>
  </si>
  <si>
    <t>Организация временного трудоустройства несовершеннолетних граждан в возрасте от 14 до 18 лет в свободное от учебы время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</si>
  <si>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</si>
  <si>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Организация досуга молодых семей (Закупка товаров, работ и услуг для обеспечения государственных (муниципальных) нужд)</t>
  </si>
  <si>
    <t>Развитие системы отдыха  молодых семей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</si>
  <si>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</si>
  <si>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Формирование общественного мнения, поддерживающего цели и задачи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</si>
  <si>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</si>
  <si>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Обновление библиотечных фондов отделов МКУК "Южская МЦБ", закупка отраслевой литературы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</si>
  <si>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</si>
  <si>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</si>
  <si>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</si>
  <si>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</si>
  <si>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</si>
  <si>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</si>
  <si>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</si>
  <si>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Организация профилактики детского дорожного травматизма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</si>
  <si>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</si>
  <si>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</si>
  <si>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Повышение уровня обеспечения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</si>
  <si>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31 9 00 88010</t>
  </si>
  <si>
    <t>Обеспечение доступности услуг в сфере образования для детей - инвалидов (Предоставление субсидий бюджетным, автономным учреждениям и иным некоммерческим организациям)</t>
  </si>
  <si>
    <t>044</t>
  </si>
  <si>
    <t>Составление (изменение) списков кандидатов в присяжные заседатели федеральных судов общей юрисдикции в Российской Федерации (Межбюджетные трансферты)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</si>
  <si>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</si>
  <si>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</si>
  <si>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</si>
  <si>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</si>
  <si>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07 1 01 20460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</si>
  <si>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</si>
  <si>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31 9 00 88050</t>
  </si>
  <si>
    <t>31 9 00 00390</t>
  </si>
  <si>
    <t>31 9 00 53910</t>
  </si>
  <si>
    <t>03 7 01 S1980</t>
  </si>
  <si>
    <t>03 7 01 81980</t>
  </si>
  <si>
    <t>31 9 00 88030</t>
  </si>
  <si>
    <t>31 9 00 81950</t>
  </si>
  <si>
    <t>31 9 00 S1950</t>
  </si>
  <si>
    <t>31 9 00 20770</t>
  </si>
  <si>
    <t>31 9 00 88020</t>
  </si>
  <si>
    <t>30 9 00 88040</t>
  </si>
  <si>
    <t>08 1 05 21270</t>
  </si>
  <si>
    <t>31 9 00 21260</t>
  </si>
  <si>
    <t>02 5 01 R0200</t>
  </si>
  <si>
    <t>31 9 00 21300</t>
  </si>
  <si>
    <t>02 5 01 50200</t>
  </si>
  <si>
    <t>31 9 00 21290</t>
  </si>
  <si>
    <t>02 5 01 70080</t>
  </si>
  <si>
    <t>31 9 00 21310</t>
  </si>
  <si>
    <t>31 9 00 R0970</t>
  </si>
  <si>
    <t>31 9 00 L0970</t>
  </si>
  <si>
    <t>31 9 00 21311</t>
  </si>
  <si>
    <t>03 4 01 21350</t>
  </si>
  <si>
    <t>31 9 00 21340</t>
  </si>
  <si>
    <t>31 9 00 21380</t>
  </si>
  <si>
    <t>31 9 00 90030</t>
  </si>
  <si>
    <t>01 2 03 21360</t>
  </si>
  <si>
    <t>31 9 00 21370</t>
  </si>
  <si>
    <t>31 9 00 21390</t>
  </si>
  <si>
    <t>08 2 01 21720</t>
  </si>
  <si>
    <t>08 3 04 21410</t>
  </si>
  <si>
    <t>31 9 00 21400</t>
  </si>
  <si>
    <t>01 1 03 80090</t>
  </si>
  <si>
    <t>31 9 00 21830</t>
  </si>
  <si>
    <t>01 3 01 S1420</t>
  </si>
  <si>
    <t>01 3 01 81420</t>
  </si>
  <si>
    <t>31 9 00 20970</t>
  </si>
  <si>
    <t>31 9 00 20980</t>
  </si>
  <si>
    <r>
      <t xml:space="preserve">Администрация Южского муниципального района </t>
    </r>
  </si>
  <si>
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</si>
  <si>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 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</si>
  <si>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</si>
  <si>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</si>
  <si>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</si>
  <si>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Проведение диспансеризации муниципальных служащих Администрации Южского муниципального района на исполнение решения Южского районного Суда Ивановской области от 29.01.2016 № 2а-163/2016 (Закупка товаров, работ и услуг для обеспечения государственных (муниципальных) нужд) 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</si>
  <si>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</si>
  <si>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(Закупка товаров, работ и услуг для обеспечения государственных (муниципальных) нужд) </t>
  </si>
  <si>
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(Закупка товаров, работ и услуг для обеспечения государственных (муниципальных) нужд) </t>
  </si>
  <si>
    <t>Проведение мероприятий среди молодежи (Закупка товаров, работ и услуг для обеспечения государственных (муниципальных) нужд)</t>
  </si>
  <si>
    <t>Размещение официальной информации органов местного самоуправления Южского муниципального района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</si>
  <si>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Муниципального бюджетного учреждения "Южский многофункциональный центр по предоставлению государственных и муниципальных услуг "Мои документы" (Предоставление субсидий бюджетным, автономным учреждениям и иным некоммерческим организациям)</t>
  </si>
  <si>
    <r>
      <t xml:space="preserve">Поставка транспортного средства на обеспечение деятельности Муниципального бюджетного учреждения "Южский многофункциональный центр по предоставлению государственных и муниципальных услуг "Мои документы"" (Предоставление субсидий бюджетным, автономным учреждениям и иным некоммерческим организациям) </t>
    </r>
  </si>
  <si>
    <t xml:space="preserve">Приобретение программного обеспечения (Закупка товаров, работ и услуг для обеспечения государственных (муниципальных) нужд) </t>
  </si>
  <si>
    <r>
      <t xml:space="preserve">Приобретение оборудования IP телефонии  (Закупка товаров, работ и услуг для обеспечения государственных (муниципальных) нужд) </t>
    </r>
  </si>
  <si>
    <r>
      <t xml:space="preserve">Выплата выходного пособия за второй и третий месяцы, уволенным по сокращению в связи с ликвидацией администрации Южского городского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</si>
  <si>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 xml:space="preserve">Благоустройство территории, прилегающей к зданию МБУ "Южский МФЦ "Мои документы", в части укладки твердого покрытия  (Предоставление субсидий бюджетным, автономным учреждениям и иным некоммерческим организациям) </t>
  </si>
  <si>
    <t xml:space="preserve">Возмещение расходов, понесенных Департаментом дорожного хозяйства и транспорта Ивановской области, связанных с эксплуатацией и содержанием имущества Ивановской области, переданных по договору безвозмездного пользования имуществом Ивановской области № 11-11/89 от 01.11.2016г. (Иные бюджетные ассигнования) </t>
  </si>
  <si>
    <t>Проведение Всероссийской сельскохозяйственной переписи в 2016 году (Закупка товаров, работ и услуг для обеспечения государственных (муниципальных) нужд)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</si>
  <si>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</si>
  <si>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</si>
  <si>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Поддержка развития театрального движения в Южском муниципальном районе Ивановской области "ЮЖСКОЕ ДОСТОЯНИЕ"  (Предоставление субсидий бюджетным, автономным учреждениям и иным некоммерческим организациям)</t>
  </si>
  <si>
    <t>Организация работы лагеря с дневным пребыванием детей "Подросток"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</si>
  <si>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</si>
  <si>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Организация и проведение мероприятий по работе с детьми и молодёжью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</si>
  <si>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Организация и проведение мероприятий по работе с детьми и молодёжью (Закупка товаров, работ и услуг для обеспечения государственных (муниципальных) нужд) </t>
  </si>
  <si>
    <t>Проведение мероприятий среди молодежи  (Иные бюджетные ассигнования)</t>
  </si>
  <si>
    <t xml:space="preserve">Оплата задолженности по договору поставки № 407 от 02.10.2015 года, заключенному между Администрацией Южского муниципального района и ИП Лысогорской Ириной Анатольевной  (Закупка товаров, работ и услуг для обеспечения государственных (муниципальных) нужд) </t>
  </si>
  <si>
    <t xml:space="preserve">Оплата задолженности по договору поставки № 408 от 02.11.2015 года, заключенному между Администрацией Южского муниципального района и ИП Лысогорской Ириной Анатольевной  (Закупка товаров, работ и услуг для обеспечения государственных (муниципальных) нужд) </t>
  </si>
  <si>
    <t xml:space="preserve"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</si>
  <si>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 </t>
  </si>
  <si>
    <t xml:space="preserve">Библиотечное, библиографическое и информационное обслуживание пользователей (Иные бюджетные ассигнования)  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</si>
  <si>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</si>
  <si>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</si>
  <si>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</si>
  <si>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учреждений культуры Южского муниципального района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</si>
  <si>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</si>
  <si>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</si>
  <si>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  </r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</si>
  <si>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</si>
  <si>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</si>
  <si>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r>
      <t>Проведение спортивно-оздоровительных и спортивно-массовых мероприятий (Иные бюджетные ассигнования)</t>
    </r>
  </si>
  <si>
    <t>Совет Южского муниципального района</t>
  </si>
  <si>
    <t xml:space="preserve"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</si>
  <si>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</si>
  <si>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 </t>
  </si>
  <si>
    <t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</si>
  <si>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Финансовый отдел администрации Южского муниципального района 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</si>
  <si>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внутреннего контроля за исполнением бюджетов поселений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</si>
  <si>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внутреннего контроля за исполнением бюджетов поселений (Закупка товаров, работ и услуг для обеспечения государственных (муниципальных) нужд) </t>
  </si>
  <si>
    <t xml:space="preserve">Исполнение судебного акта от 26.02.2016 года по делу № А17-6886/2014 Арбитражного суда Ивановской области о взыскании с муниципального образования Южский муниципальный район Ивановской области в лице Администрации Южского муниципального района Ивановской области за счет казны Южского муниципального района в пользу общества с ограниченной ответственностью "ТалицыКомсервис" (Иные бюджетные ассигнования)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</si>
  <si>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</si>
  <si>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</si>
  <si>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</si>
  <si>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</si>
  <si>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</si>
  <si>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</si>
  <si>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</si>
  <si>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</si>
  <si>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Проведение работ по очистке кровли МБДОУ детский сад "Тополек" г. Южи от наледи и снега (Предоставление субсидий бюджетным, автономным учреждениям и иным некоммерческим организациям)</t>
  </si>
  <si>
    <t>Замена труб отопления в теплотрассе МБДОУ детского сада "Светлячок"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</si>
  <si>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</si>
  <si>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</si>
  <si>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</si>
  <si>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</si>
  <si>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</si>
  <si>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</si>
  <si>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</si>
  <si>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</si>
  <si>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</si>
  <si>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</si>
  <si>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</si>
  <si>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</si>
  <si>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питания обучающихся 1-4 классов муниципальных образовательных организаций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</si>
  <si>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питания обучающихся 5-11 классов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</si>
  <si>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питания обучающихся 5-11 классов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</si>
  <si>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Организация питания обучающихся 1-4 классов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</si>
  <si>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</si>
  <si>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 </t>
  </si>
  <si>
    <t>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</si>
  <si>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</si>
  <si>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аппаратурой спутниковой навигации ГЛОНАСС (Закупка товаров, работ и услуг для обеспечения государственных (муниципальных) нужд)  </t>
  </si>
  <si>
    <t xml:space="preserve">Проведение работ по откачке канализационных сточных вод из цокольного этажа МБОУ СОШ № 3 г. Южи Ивановской области (Предоставление субсидий бюджетным, автономным учреждениям и иным некоммерческим организациям) </t>
  </si>
  <si>
    <t>Проведение текущего ремонта системы отопления в здании МБОУ Талицкая средняя школа (Предоставление субсидий бюджетным, автономным учреждениям и иным некоммерческим организациям)</t>
  </si>
  <si>
    <t xml:space="preserve">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(Закупка товаров, работ и услуг для обеспечения государственных (муниципальных) нужд) </t>
  </si>
  <si>
    <t>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</si>
  <si>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</si>
  <si>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</si>
  <si>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Укрепление материально-технической базы муниципальных образовательных организаций Ивановской области в части реализации мероприятий по созданию в общеобразовательных организациях Ивановской области, расположенных в сельской местности, условий для занятий физической культурой и спортом в 2016 году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</si>
  <si>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Южского муниципального района в части реализации мероприятий по созданию в общеобразовательных организациях Южского муниципального района, расположенных в сельской местности, условий для занятий физической культурой и спортом в 2016 году (Закупка товаров, работ и услуг для обеспечения государственных (муниципальных) нужд) </t>
  </si>
  <si>
    <t>Укрепление материально-технической базы образовательных учреждений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</si>
  <si>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работы лагерей с дневным пребыванием и профильных лагерей с дневным пребыванием детей (Предоставление субсидий бюджетным, автономным учреждениям и иным некоммерческим организациям) 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</si>
  <si>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</si>
  <si>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</si>
  <si>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</si>
  <si>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</si>
  <si>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Организация временного трудоустройства несовершеннолетних граждан в возрасте от 14 до 18 лет в свободное от учебы время (Предоставление субсидий бюджетным, автономным учреждениям и иным некоммерческим организациям)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</si>
  <si>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</si>
  <si>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</si>
  <si>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</si>
  <si>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</si>
  <si>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(Предоставление субсидий бюджетным, автономным учреждениям и иным некоммерческим организациям)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</si>
  <si>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</si>
  <si>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Оценка недвижимости (Закупка товаров, работ и услуг для обеспечения государственных (муниципальных) нужд)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</si>
  <si>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</si>
  <si>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Организация проведения работ по технической инвентаризации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 </t>
  </si>
  <si>
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 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</si>
  <si>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</si>
  <si>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Содержание и обслуживание казны (Иные бюджетные ассигнования)  </t>
  </si>
  <si>
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</si>
  <si>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(Закупка товаров, работ и услуг для обеспечения государственных (муниципальных) нужд) 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</si>
  <si>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</si>
  <si>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</si>
  <si>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</si>
  <si>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</si>
  <si>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</si>
  <si>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Ремонт дорог общего пользования местного значения (Закупка товаров, работ и услуг для обеспечения государственных (муниципальных) нужд)</t>
  </si>
  <si>
    <t xml:space="preserve">Всего </t>
  </si>
  <si>
    <t>Код главного распорядителя</t>
  </si>
  <si>
    <t>Утвержденные бюджетные назначения (руб.)</t>
  </si>
  <si>
    <t>Исполнено за 2016 год (руб.)</t>
  </si>
  <si>
    <t>Процент исполнения (%)</t>
  </si>
  <si>
    <t>Расходы бюджета Южского муниципального района по ведомственной структуре расходов бюджета за 2016 год</t>
  </si>
  <si>
    <t>"Об утверждении</t>
  </si>
  <si>
    <t>отчета об исполнении бюджета</t>
  </si>
  <si>
    <t>Южского муниципального района</t>
  </si>
  <si>
    <t>за 2016 год"</t>
  </si>
  <si>
    <t>Приложение № 2</t>
  </si>
  <si>
    <r>
      <rPr>
        <sz val="11"/>
        <rFont val="Times New Roman"/>
        <family val="1"/>
      </rPr>
      <t>Оказание услуг по размещению информации в печатных изданиях, теле- и радиовещании, информационно телекоммуникационной сети "Интернет" (Закупка товаров, работ и услуг для обеспечения государственных (муниципальных) нужд)</t>
    </r>
  </si>
  <si>
    <r>
      <t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</si>
  <si>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r>
      <t>Создание модельных библиотек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</si>
  <si>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r>
      <t>Организация дополнительного пенсионного обеспечения отдельных категорий граждан (Социальное обеспечение и иные выплаты населению)</t>
    </r>
    <r>
      <rPr>
        <i/>
        <sz val="11"/>
        <color indexed="56"/>
        <rFont val="Times New Roman"/>
        <family val="1"/>
      </rPr>
      <t xml:space="preserve"> </t>
    </r>
  </si>
  <si>
    <r>
      <t xml:space="preserve"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 </t>
    </r>
    <r>
      <rPr>
        <i/>
        <sz val="11"/>
        <color indexed="56"/>
        <rFont val="Times New Roman"/>
        <family val="1"/>
      </rPr>
      <t xml:space="preserve"> </t>
    </r>
  </si>
  <si>
    <r>
  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</si>
  <si>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r>
  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  </r>
    <r>
      <rPr>
        <i/>
        <sz val="11"/>
        <color indexed="56"/>
        <rFont val="Times New Roman"/>
        <family val="1"/>
      </rPr>
      <t xml:space="preserve"> </t>
    </r>
  </si>
  <si>
    <r>
      <t>Организация питания обучающихся 1-4 классов муниципальных образовательных организаций Южского муниципального района (Предоставление субсидий бюджетным, автономным учреждениям и иным некоммерческим организациям)</t>
    </r>
    <r>
      <rPr>
        <i/>
        <sz val="11"/>
        <color indexed="56"/>
        <rFont val="Times New Roman"/>
        <family val="1"/>
      </rPr>
      <t xml:space="preserve"> </t>
    </r>
  </si>
  <si>
    <r>
      <t xml:space="preserve">Организация временного трудоустройства несовершеннолетних граждан в возрасте от 14 до 18 лет в свободное от учебы время (Закупка товаров, работ и услуг для обеспечения государственных (муниципальных) нужд) </t>
    </r>
    <r>
      <rPr>
        <i/>
        <sz val="11"/>
        <color indexed="56"/>
        <rFont val="Times New Roman"/>
        <family val="1"/>
      </rPr>
      <t xml:space="preserve"> </t>
    </r>
  </si>
  <si>
    <r>
  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</si>
  <si>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r>
      <t>Проведение спортивно-оздоровительных и спортивно-массовых мероприятий (Предоставление субсидий бюджетным, автономным учреждениям и иным некоммерческим организациям)</t>
    </r>
    <r>
      <rPr>
        <i/>
        <sz val="11"/>
        <rFont val="Times New Roman"/>
        <family val="1"/>
      </rPr>
      <t xml:space="preserve"> </t>
    </r>
  </si>
  <si>
    <r>
      <t>Размещение официальной информации органов местного самоуправления Южского муниципального района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</si>
  <si>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r>
      <t>Закупка глубинного насоса для артезианской скважины в с. Холуй Южского муниципального района Ивановской области с целью восстановления водоснабжения в МБДОУ Холуйский детский сад и МКОУ СОШ с. Холуй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</si>
  <si>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r>
  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1"/>
        <color indexed="56"/>
        <rFont val="Times New Roman"/>
        <family val="1"/>
      </rPr>
      <t xml:space="preserve"> </t>
    </r>
  </si>
  <si>
    <r>
      <t>Управление жилищно-коммунального хозяйства Администрации Южского муниципального района</t>
    </r>
    <r>
      <rPr>
        <i/>
        <sz val="11"/>
        <color indexed="56"/>
        <rFont val="Times New Roman"/>
        <family val="1"/>
      </rPr>
      <t xml:space="preserve"> </t>
    </r>
  </si>
  <si>
    <r>
      <t>Проведение неотложных аварийно-восстановительных работ по ликвидации последствий чрезвычайной ситуации, связанной с разрушением сооружения дорожного транспорта (моста) через р. Теза у д. Емельяново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</si>
  <si>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r>
      <t>от</t>
    </r>
    <r>
      <rPr>
        <u val="single"/>
        <sz val="14"/>
        <rFont val="Times New Roman"/>
        <family val="1"/>
      </rPr>
      <t xml:space="preserve">   26.05.2017 года       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49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</si>
</sst>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5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1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1"/>
      <color theme="1"/>
      <name val="Times New Roman"/>
      <family val="1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172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17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justify" vertical="top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top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justify" vertical="top" wrapText="1"/>
    </xf>
    <xf numFmtId="49" fontId="9" fillId="3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justify" vertical="top"/>
    </xf>
    <xf numFmtId="0" fontId="9" fillId="34" borderId="10" xfId="0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justify" vertical="top" wrapText="1"/>
    </xf>
    <xf numFmtId="4" fontId="9" fillId="35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top" wrapText="1"/>
    </xf>
    <xf numFmtId="2" fontId="47" fillId="34" borderId="10" xfId="0" applyNumberFormat="1" applyFont="1" applyFill="1" applyBorder="1" applyAlignment="1">
      <alignment horizontal="justify" vertical="top"/>
    </xf>
    <xf numFmtId="4" fontId="9" fillId="34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8"/>
  <sheetViews>
    <sheetView tabSelected="1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50.7109375" style="1" customWidth="1"/>
    <col min="2" max="2" width="4.8515625" style="2" customWidth="1"/>
    <col min="3" max="3" width="5.7109375" style="2" customWidth="1"/>
    <col min="4" max="4" width="6.00390625" style="2" customWidth="1"/>
    <col min="5" max="5" width="14.57421875" style="2" customWidth="1"/>
    <col min="6" max="6" width="5.8515625" style="2" customWidth="1"/>
    <col min="7" max="7" width="16.421875" style="2" customWidth="1"/>
    <col min="8" max="8" width="16.421875" style="1" customWidth="1"/>
    <col min="9" max="9" width="14.8515625" style="1" customWidth="1"/>
    <col min="10" max="10" width="40.00390625" style="1" customWidth="1"/>
    <col min="11" max="16384" width="9.140625" style="1" customWidth="1"/>
  </cols>
  <sheetData>
    <row r="1" spans="5:9" ht="18.75">
      <c r="E1" s="55" t="s">
        <v>355</v>
      </c>
      <c r="F1" s="55"/>
      <c r="G1" s="55"/>
      <c r="H1" s="55"/>
      <c r="I1" s="55"/>
    </row>
    <row r="2" spans="5:9" ht="18.75">
      <c r="E2" s="55" t="s">
        <v>0</v>
      </c>
      <c r="F2" s="55"/>
      <c r="G2" s="55"/>
      <c r="H2" s="55"/>
      <c r="I2" s="55"/>
    </row>
    <row r="3" spans="5:9" ht="18.75">
      <c r="E3" s="55" t="s">
        <v>1</v>
      </c>
      <c r="F3" s="55"/>
      <c r="G3" s="55"/>
      <c r="H3" s="55"/>
      <c r="I3" s="55"/>
    </row>
    <row r="4" spans="5:9" ht="18.75">
      <c r="E4" s="55" t="s">
        <v>351</v>
      </c>
      <c r="F4" s="55"/>
      <c r="G4" s="55"/>
      <c r="H4" s="55"/>
      <c r="I4" s="55"/>
    </row>
    <row r="5" spans="5:9" ht="18.75">
      <c r="E5" s="55" t="s">
        <v>352</v>
      </c>
      <c r="F5" s="55"/>
      <c r="G5" s="55"/>
      <c r="H5" s="55"/>
      <c r="I5" s="55"/>
    </row>
    <row r="6" spans="5:9" ht="18.75">
      <c r="E6" s="55" t="s">
        <v>353</v>
      </c>
      <c r="F6" s="55"/>
      <c r="G6" s="55"/>
      <c r="H6" s="55"/>
      <c r="I6" s="55"/>
    </row>
    <row r="7" spans="5:9" ht="18.75">
      <c r="E7" s="55" t="s">
        <v>354</v>
      </c>
      <c r="F7" s="55"/>
      <c r="G7" s="55"/>
      <c r="H7" s="55"/>
      <c r="I7" s="55"/>
    </row>
    <row r="8" spans="5:9" ht="18.75">
      <c r="E8" s="55" t="s">
        <v>372</v>
      </c>
      <c r="F8" s="55"/>
      <c r="G8" s="55"/>
      <c r="H8" s="55"/>
      <c r="I8" s="55"/>
    </row>
    <row r="10" spans="1:9" s="5" customFormat="1" ht="40.5" customHeight="1">
      <c r="A10" s="61" t="s">
        <v>350</v>
      </c>
      <c r="B10" s="61"/>
      <c r="C10" s="61"/>
      <c r="D10" s="61"/>
      <c r="E10" s="61"/>
      <c r="F10" s="61"/>
      <c r="G10" s="61"/>
      <c r="H10" s="61"/>
      <c r="I10" s="61"/>
    </row>
    <row r="11" spans="1:7" ht="12" customHeight="1">
      <c r="A11" s="59"/>
      <c r="B11" s="59"/>
      <c r="C11" s="59"/>
      <c r="D11" s="59"/>
      <c r="E11" s="59"/>
      <c r="F11" s="59"/>
      <c r="G11" s="59"/>
    </row>
    <row r="12" spans="1:9" ht="18.75">
      <c r="A12" s="58" t="s">
        <v>2</v>
      </c>
      <c r="B12" s="60" t="s">
        <v>346</v>
      </c>
      <c r="C12" s="58" t="s">
        <v>3</v>
      </c>
      <c r="D12" s="58" t="s">
        <v>4</v>
      </c>
      <c r="E12" s="58" t="s">
        <v>5</v>
      </c>
      <c r="F12" s="58" t="s">
        <v>6</v>
      </c>
      <c r="G12" s="58" t="s">
        <v>347</v>
      </c>
      <c r="H12" s="56" t="s">
        <v>348</v>
      </c>
      <c r="I12" s="56" t="s">
        <v>349</v>
      </c>
    </row>
    <row r="13" spans="1:9" ht="96.75" customHeight="1">
      <c r="A13" s="58"/>
      <c r="B13" s="60"/>
      <c r="C13" s="58"/>
      <c r="D13" s="58"/>
      <c r="E13" s="58"/>
      <c r="F13" s="58"/>
      <c r="G13" s="58"/>
      <c r="H13" s="57"/>
      <c r="I13" s="57"/>
    </row>
    <row r="14" spans="1:9" s="3" customFormat="1" ht="18.75">
      <c r="A14" s="15" t="s">
        <v>7</v>
      </c>
      <c r="B14" s="16" t="s">
        <v>8</v>
      </c>
      <c r="C14" s="16" t="s">
        <v>9</v>
      </c>
      <c r="D14" s="16" t="s">
        <v>10</v>
      </c>
      <c r="E14" s="16" t="s">
        <v>11</v>
      </c>
      <c r="F14" s="16" t="s">
        <v>12</v>
      </c>
      <c r="G14" s="16" t="s">
        <v>13</v>
      </c>
      <c r="H14" s="18">
        <v>8</v>
      </c>
      <c r="I14" s="18">
        <v>9</v>
      </c>
    </row>
    <row r="15" spans="1:10" s="5" customFormat="1" ht="40.5" customHeight="1">
      <c r="A15" s="19" t="s">
        <v>227</v>
      </c>
      <c r="B15" s="20" t="s">
        <v>14</v>
      </c>
      <c r="C15" s="20" t="s">
        <v>15</v>
      </c>
      <c r="D15" s="20" t="s">
        <v>15</v>
      </c>
      <c r="E15" s="20" t="s">
        <v>16</v>
      </c>
      <c r="F15" s="20" t="s">
        <v>17</v>
      </c>
      <c r="G15" s="21">
        <f>SUM(G16:G86)</f>
        <v>48477314.510000005</v>
      </c>
      <c r="H15" s="21">
        <f>SUM(H16:H86)</f>
        <v>47889234.660000004</v>
      </c>
      <c r="I15" s="21">
        <f>H15/G15*100</f>
        <v>98.78689680741559</v>
      </c>
      <c r="J15" s="12"/>
    </row>
    <row r="16" spans="1:9" s="5" customFormat="1" ht="94.5" customHeight="1">
      <c r="A16" s="22" t="s">
        <v>18</v>
      </c>
      <c r="B16" s="23" t="s">
        <v>14</v>
      </c>
      <c r="C16" s="23" t="s">
        <v>19</v>
      </c>
      <c r="D16" s="23" t="s">
        <v>20</v>
      </c>
      <c r="E16" s="24" t="s">
        <v>21</v>
      </c>
      <c r="F16" s="25" t="s">
        <v>22</v>
      </c>
      <c r="G16" s="26">
        <f>1001805+16491.36</f>
        <v>1018296.36</v>
      </c>
      <c r="H16" s="27">
        <v>1000031.78</v>
      </c>
      <c r="I16" s="27">
        <f>H16/G16*100</f>
        <v>98.20635909962401</v>
      </c>
    </row>
    <row r="17" spans="1:9" ht="130.5" customHeight="1">
      <c r="A17" s="28" t="s">
        <v>228</v>
      </c>
      <c r="B17" s="25" t="s">
        <v>14</v>
      </c>
      <c r="C17" s="25" t="s">
        <v>19</v>
      </c>
      <c r="D17" s="25" t="s">
        <v>24</v>
      </c>
      <c r="E17" s="24" t="s">
        <v>25</v>
      </c>
      <c r="F17" s="25" t="s">
        <v>22</v>
      </c>
      <c r="G17" s="29">
        <f>19782279.22-3994399.29+648741.03+45445+17200+74209.67-65403.8-13300-11033.7-16491.36</f>
        <v>16467246.77</v>
      </c>
      <c r="H17" s="27">
        <v>16288047.57</v>
      </c>
      <c r="I17" s="27">
        <f aca="true" t="shared" si="0" ref="I17:I80">H17/G17*100</f>
        <v>98.91178408568902</v>
      </c>
    </row>
    <row r="18" spans="1:9" ht="88.5" customHeight="1">
      <c r="A18" s="28" t="s">
        <v>229</v>
      </c>
      <c r="B18" s="25" t="s">
        <v>14</v>
      </c>
      <c r="C18" s="25" t="s">
        <v>19</v>
      </c>
      <c r="D18" s="25" t="s">
        <v>24</v>
      </c>
      <c r="E18" s="24" t="s">
        <v>25</v>
      </c>
      <c r="F18" s="25" t="s">
        <v>26</v>
      </c>
      <c r="G18" s="29">
        <f>1816110+383500+15000+15000+25392+55755.96-25392+11033.7</f>
        <v>2296399.66</v>
      </c>
      <c r="H18" s="27">
        <v>2295623.39</v>
      </c>
      <c r="I18" s="27">
        <f t="shared" si="0"/>
        <v>99.96619621516578</v>
      </c>
    </row>
    <row r="19" spans="1:9" ht="69" customHeight="1">
      <c r="A19" s="28" t="s">
        <v>230</v>
      </c>
      <c r="B19" s="25" t="s">
        <v>14</v>
      </c>
      <c r="C19" s="25" t="s">
        <v>19</v>
      </c>
      <c r="D19" s="25" t="s">
        <v>24</v>
      </c>
      <c r="E19" s="24" t="s">
        <v>25</v>
      </c>
      <c r="F19" s="25" t="s">
        <v>27</v>
      </c>
      <c r="G19" s="30">
        <f>163100-11000</f>
        <v>152100</v>
      </c>
      <c r="H19" s="27">
        <v>145046.75</v>
      </c>
      <c r="I19" s="27">
        <f t="shared" si="0"/>
        <v>95.36275476660091</v>
      </c>
    </row>
    <row r="20" spans="1:9" ht="126" customHeight="1">
      <c r="A20" s="28" t="s">
        <v>231</v>
      </c>
      <c r="B20" s="25" t="s">
        <v>14</v>
      </c>
      <c r="C20" s="25" t="s">
        <v>19</v>
      </c>
      <c r="D20" s="25" t="s">
        <v>24</v>
      </c>
      <c r="E20" s="24" t="s">
        <v>28</v>
      </c>
      <c r="F20" s="25" t="s">
        <v>22</v>
      </c>
      <c r="G20" s="30">
        <v>346085</v>
      </c>
      <c r="H20" s="27">
        <v>333323.34</v>
      </c>
      <c r="I20" s="27">
        <f t="shared" si="0"/>
        <v>96.3125648323389</v>
      </c>
    </row>
    <row r="21" spans="1:9" ht="81.75" customHeight="1">
      <c r="A21" s="28" t="s">
        <v>232</v>
      </c>
      <c r="B21" s="25" t="s">
        <v>14</v>
      </c>
      <c r="C21" s="25" t="s">
        <v>19</v>
      </c>
      <c r="D21" s="25" t="s">
        <v>24</v>
      </c>
      <c r="E21" s="24" t="s">
        <v>28</v>
      </c>
      <c r="F21" s="25" t="s">
        <v>26</v>
      </c>
      <c r="G21" s="30">
        <v>64895</v>
      </c>
      <c r="H21" s="27">
        <v>64787</v>
      </c>
      <c r="I21" s="27">
        <f t="shared" si="0"/>
        <v>99.83357731720471</v>
      </c>
    </row>
    <row r="22" spans="1:9" ht="99.75" customHeight="1">
      <c r="A22" s="28" t="s">
        <v>233</v>
      </c>
      <c r="B22" s="25" t="s">
        <v>14</v>
      </c>
      <c r="C22" s="25" t="s">
        <v>19</v>
      </c>
      <c r="D22" s="25" t="s">
        <v>24</v>
      </c>
      <c r="E22" s="24" t="s">
        <v>203</v>
      </c>
      <c r="F22" s="25" t="s">
        <v>26</v>
      </c>
      <c r="G22" s="30">
        <v>36000</v>
      </c>
      <c r="H22" s="27">
        <v>36000</v>
      </c>
      <c r="I22" s="27">
        <f t="shared" si="0"/>
        <v>100</v>
      </c>
    </row>
    <row r="23" spans="1:9" ht="145.5" customHeight="1">
      <c r="A23" s="31" t="s">
        <v>234</v>
      </c>
      <c r="B23" s="25" t="s">
        <v>14</v>
      </c>
      <c r="C23" s="25" t="s">
        <v>19</v>
      </c>
      <c r="D23" s="25" t="s">
        <v>24</v>
      </c>
      <c r="E23" s="24" t="s">
        <v>198</v>
      </c>
      <c r="F23" s="25" t="s">
        <v>22</v>
      </c>
      <c r="G23" s="30">
        <v>266475</v>
      </c>
      <c r="H23" s="27">
        <v>265267.14</v>
      </c>
      <c r="I23" s="27">
        <f t="shared" si="0"/>
        <v>99.54672670982269</v>
      </c>
    </row>
    <row r="24" spans="1:9" ht="105.75" customHeight="1">
      <c r="A24" s="31" t="s">
        <v>235</v>
      </c>
      <c r="B24" s="25" t="s">
        <v>14</v>
      </c>
      <c r="C24" s="25" t="s">
        <v>19</v>
      </c>
      <c r="D24" s="25" t="s">
        <v>24</v>
      </c>
      <c r="E24" s="24" t="s">
        <v>198</v>
      </c>
      <c r="F24" s="25" t="s">
        <v>26</v>
      </c>
      <c r="G24" s="30">
        <v>79526</v>
      </c>
      <c r="H24" s="27">
        <v>79526</v>
      </c>
      <c r="I24" s="27">
        <f t="shared" si="0"/>
        <v>100</v>
      </c>
    </row>
    <row r="25" spans="1:9" ht="114" customHeight="1">
      <c r="A25" s="31" t="s">
        <v>236</v>
      </c>
      <c r="B25" s="25" t="s">
        <v>14</v>
      </c>
      <c r="C25" s="25" t="s">
        <v>19</v>
      </c>
      <c r="D25" s="25" t="s">
        <v>24</v>
      </c>
      <c r="E25" s="24" t="s">
        <v>189</v>
      </c>
      <c r="F25" s="25" t="s">
        <v>26</v>
      </c>
      <c r="G25" s="30">
        <f>4641+876-361</f>
        <v>5156</v>
      </c>
      <c r="H25" s="27">
        <v>5156</v>
      </c>
      <c r="I25" s="27">
        <f t="shared" si="0"/>
        <v>100</v>
      </c>
    </row>
    <row r="26" spans="1:9" ht="63.75" customHeight="1">
      <c r="A26" s="32" t="s">
        <v>182</v>
      </c>
      <c r="B26" s="23" t="s">
        <v>14</v>
      </c>
      <c r="C26" s="25" t="s">
        <v>19</v>
      </c>
      <c r="D26" s="23" t="s">
        <v>29</v>
      </c>
      <c r="E26" s="33" t="s">
        <v>30</v>
      </c>
      <c r="F26" s="23" t="s">
        <v>31</v>
      </c>
      <c r="G26" s="34">
        <v>10600</v>
      </c>
      <c r="H26" s="27">
        <v>10012.94</v>
      </c>
      <c r="I26" s="27">
        <f t="shared" si="0"/>
        <v>94.46169811320755</v>
      </c>
    </row>
    <row r="27" spans="1:9" ht="112.5" customHeight="1">
      <c r="A27" s="35" t="s">
        <v>36</v>
      </c>
      <c r="B27" s="25" t="s">
        <v>14</v>
      </c>
      <c r="C27" s="25" t="s">
        <v>19</v>
      </c>
      <c r="D27" s="25" t="s">
        <v>33</v>
      </c>
      <c r="E27" s="24" t="s">
        <v>37</v>
      </c>
      <c r="F27" s="25" t="s">
        <v>38</v>
      </c>
      <c r="G27" s="30">
        <v>154800</v>
      </c>
      <c r="H27" s="27">
        <v>154800</v>
      </c>
      <c r="I27" s="27">
        <f t="shared" si="0"/>
        <v>100</v>
      </c>
    </row>
    <row r="28" spans="1:9" ht="75" customHeight="1">
      <c r="A28" s="28" t="s">
        <v>183</v>
      </c>
      <c r="B28" s="25" t="s">
        <v>14</v>
      </c>
      <c r="C28" s="25" t="s">
        <v>19</v>
      </c>
      <c r="D28" s="25" t="s">
        <v>33</v>
      </c>
      <c r="E28" s="24" t="s">
        <v>39</v>
      </c>
      <c r="F28" s="25" t="s">
        <v>26</v>
      </c>
      <c r="G28" s="30">
        <v>12044</v>
      </c>
      <c r="H28" s="27">
        <v>12044</v>
      </c>
      <c r="I28" s="27">
        <f t="shared" si="0"/>
        <v>100</v>
      </c>
    </row>
    <row r="29" spans="1:9" ht="101.25" customHeight="1">
      <c r="A29" s="28" t="s">
        <v>238</v>
      </c>
      <c r="B29" s="25" t="s">
        <v>14</v>
      </c>
      <c r="C29" s="25" t="s">
        <v>19</v>
      </c>
      <c r="D29" s="25" t="s">
        <v>33</v>
      </c>
      <c r="E29" s="36" t="s">
        <v>144</v>
      </c>
      <c r="F29" s="25" t="s">
        <v>26</v>
      </c>
      <c r="G29" s="30">
        <f>10000-6249.96</f>
        <v>3750.04</v>
      </c>
      <c r="H29" s="27">
        <v>3750.04</v>
      </c>
      <c r="I29" s="27">
        <f t="shared" si="0"/>
        <v>100</v>
      </c>
    </row>
    <row r="30" spans="1:9" ht="85.5" customHeight="1">
      <c r="A30" s="37" t="s">
        <v>356</v>
      </c>
      <c r="B30" s="25" t="s">
        <v>14</v>
      </c>
      <c r="C30" s="25" t="s">
        <v>19</v>
      </c>
      <c r="D30" s="25" t="s">
        <v>33</v>
      </c>
      <c r="E30" s="36" t="s">
        <v>200</v>
      </c>
      <c r="F30" s="25" t="s">
        <v>26</v>
      </c>
      <c r="G30" s="30">
        <f>104000-28522</f>
        <v>75478</v>
      </c>
      <c r="H30" s="27">
        <v>75478</v>
      </c>
      <c r="I30" s="27">
        <f t="shared" si="0"/>
        <v>100</v>
      </c>
    </row>
    <row r="31" spans="1:9" ht="113.25" customHeight="1">
      <c r="A31" s="28" t="s">
        <v>239</v>
      </c>
      <c r="B31" s="25" t="s">
        <v>14</v>
      </c>
      <c r="C31" s="25" t="s">
        <v>19</v>
      </c>
      <c r="D31" s="25" t="s">
        <v>33</v>
      </c>
      <c r="E31" s="24" t="s">
        <v>40</v>
      </c>
      <c r="F31" s="25" t="s">
        <v>38</v>
      </c>
      <c r="G31" s="30">
        <f>2668689.7+103587+83728</f>
        <v>2856004.7</v>
      </c>
      <c r="H31" s="27">
        <v>2856004.7</v>
      </c>
      <c r="I31" s="27">
        <f t="shared" si="0"/>
        <v>100</v>
      </c>
    </row>
    <row r="32" spans="1:9" ht="112.5" customHeight="1">
      <c r="A32" s="31" t="s">
        <v>240</v>
      </c>
      <c r="B32" s="25" t="s">
        <v>14</v>
      </c>
      <c r="C32" s="25" t="s">
        <v>19</v>
      </c>
      <c r="D32" s="25" t="s">
        <v>33</v>
      </c>
      <c r="E32" s="24" t="s">
        <v>218</v>
      </c>
      <c r="F32" s="25" t="s">
        <v>38</v>
      </c>
      <c r="G32" s="30">
        <v>571500</v>
      </c>
      <c r="H32" s="27">
        <v>571500</v>
      </c>
      <c r="I32" s="27">
        <f t="shared" si="0"/>
        <v>100</v>
      </c>
    </row>
    <row r="33" spans="1:9" ht="57" customHeight="1">
      <c r="A33" s="28" t="s">
        <v>241</v>
      </c>
      <c r="B33" s="25" t="s">
        <v>14</v>
      </c>
      <c r="C33" s="25" t="s">
        <v>19</v>
      </c>
      <c r="D33" s="25" t="s">
        <v>33</v>
      </c>
      <c r="E33" s="24" t="s">
        <v>41</v>
      </c>
      <c r="F33" s="25" t="s">
        <v>26</v>
      </c>
      <c r="G33" s="30">
        <f>90350+26100+26900-7082-4000</f>
        <v>132268</v>
      </c>
      <c r="H33" s="27">
        <v>132268</v>
      </c>
      <c r="I33" s="27">
        <f t="shared" si="0"/>
        <v>100</v>
      </c>
    </row>
    <row r="34" spans="1:9" ht="49.5" customHeight="1">
      <c r="A34" s="38" t="s">
        <v>242</v>
      </c>
      <c r="B34" s="25" t="s">
        <v>14</v>
      </c>
      <c r="C34" s="25" t="s">
        <v>19</v>
      </c>
      <c r="D34" s="25" t="s">
        <v>33</v>
      </c>
      <c r="E34" s="24" t="s">
        <v>219</v>
      </c>
      <c r="F34" s="25" t="s">
        <v>26</v>
      </c>
      <c r="G34" s="30">
        <f>113353.96-2063.96</f>
        <v>111290</v>
      </c>
      <c r="H34" s="27">
        <v>111290</v>
      </c>
      <c r="I34" s="27">
        <f t="shared" si="0"/>
        <v>100</v>
      </c>
    </row>
    <row r="35" spans="1:9" ht="131.25" customHeight="1">
      <c r="A35" s="31" t="s">
        <v>243</v>
      </c>
      <c r="B35" s="25" t="s">
        <v>14</v>
      </c>
      <c r="C35" s="25" t="s">
        <v>19</v>
      </c>
      <c r="D35" s="25" t="s">
        <v>33</v>
      </c>
      <c r="E35" s="24" t="s">
        <v>190</v>
      </c>
      <c r="F35" s="25" t="s">
        <v>22</v>
      </c>
      <c r="G35" s="29">
        <f>298000-26900-50161.03-10092-10092+10092</f>
        <v>210846.97</v>
      </c>
      <c r="H35" s="27">
        <v>210846.97</v>
      </c>
      <c r="I35" s="27">
        <f t="shared" si="0"/>
        <v>100</v>
      </c>
    </row>
    <row r="36" spans="1:9" ht="84.75" customHeight="1">
      <c r="A36" s="31" t="s">
        <v>244</v>
      </c>
      <c r="B36" s="25" t="s">
        <v>14</v>
      </c>
      <c r="C36" s="25" t="s">
        <v>19</v>
      </c>
      <c r="D36" s="25" t="s">
        <v>33</v>
      </c>
      <c r="E36" s="24" t="s">
        <v>210</v>
      </c>
      <c r="F36" s="25" t="s">
        <v>38</v>
      </c>
      <c r="G36" s="30">
        <v>52000</v>
      </c>
      <c r="H36" s="27">
        <v>52000</v>
      </c>
      <c r="I36" s="27">
        <f t="shared" si="0"/>
        <v>100</v>
      </c>
    </row>
    <row r="37" spans="1:9" ht="114" customHeight="1">
      <c r="A37" s="31" t="s">
        <v>245</v>
      </c>
      <c r="B37" s="25" t="s">
        <v>14</v>
      </c>
      <c r="C37" s="25" t="s">
        <v>19</v>
      </c>
      <c r="D37" s="25" t="s">
        <v>33</v>
      </c>
      <c r="E37" s="24" t="s">
        <v>222</v>
      </c>
      <c r="F37" s="25" t="s">
        <v>27</v>
      </c>
      <c r="G37" s="30">
        <v>7331.32</v>
      </c>
      <c r="H37" s="27">
        <v>7331.32</v>
      </c>
      <c r="I37" s="27">
        <f t="shared" si="0"/>
        <v>100</v>
      </c>
    </row>
    <row r="38" spans="1:9" ht="66" customHeight="1">
      <c r="A38" s="32" t="s">
        <v>246</v>
      </c>
      <c r="B38" s="25" t="s">
        <v>14</v>
      </c>
      <c r="C38" s="25" t="s">
        <v>19</v>
      </c>
      <c r="D38" s="25" t="s">
        <v>33</v>
      </c>
      <c r="E38" s="24" t="s">
        <v>191</v>
      </c>
      <c r="F38" s="25" t="s">
        <v>26</v>
      </c>
      <c r="G38" s="30">
        <f>756214-86505</f>
        <v>669709</v>
      </c>
      <c r="H38" s="27">
        <v>530183.5</v>
      </c>
      <c r="I38" s="27">
        <f t="shared" si="0"/>
        <v>79.16624981895121</v>
      </c>
    </row>
    <row r="39" spans="1:9" ht="50.25" customHeight="1">
      <c r="A39" s="38" t="s">
        <v>146</v>
      </c>
      <c r="B39" s="25" t="s">
        <v>14</v>
      </c>
      <c r="C39" s="25" t="s">
        <v>24</v>
      </c>
      <c r="D39" s="25" t="s">
        <v>29</v>
      </c>
      <c r="E39" s="39" t="s">
        <v>155</v>
      </c>
      <c r="F39" s="25" t="s">
        <v>27</v>
      </c>
      <c r="G39" s="30">
        <v>5000</v>
      </c>
      <c r="H39" s="27">
        <v>0</v>
      </c>
      <c r="I39" s="27">
        <f t="shared" si="0"/>
        <v>0</v>
      </c>
    </row>
    <row r="40" spans="1:9" ht="49.5" customHeight="1">
      <c r="A40" s="28" t="s">
        <v>147</v>
      </c>
      <c r="B40" s="25" t="s">
        <v>14</v>
      </c>
      <c r="C40" s="25" t="s">
        <v>24</v>
      </c>
      <c r="D40" s="25" t="s">
        <v>29</v>
      </c>
      <c r="E40" s="24" t="s">
        <v>156</v>
      </c>
      <c r="F40" s="25" t="s">
        <v>27</v>
      </c>
      <c r="G40" s="30">
        <v>5000</v>
      </c>
      <c r="H40" s="27">
        <v>0</v>
      </c>
      <c r="I40" s="27">
        <f t="shared" si="0"/>
        <v>0</v>
      </c>
    </row>
    <row r="41" spans="1:9" ht="113.25" customHeight="1">
      <c r="A41" s="28" t="s">
        <v>53</v>
      </c>
      <c r="B41" s="25" t="s">
        <v>14</v>
      </c>
      <c r="C41" s="25" t="s">
        <v>24</v>
      </c>
      <c r="D41" s="25" t="s">
        <v>52</v>
      </c>
      <c r="E41" s="24" t="s">
        <v>54</v>
      </c>
      <c r="F41" s="25" t="s">
        <v>27</v>
      </c>
      <c r="G41" s="30">
        <v>20000</v>
      </c>
      <c r="H41" s="30">
        <v>0</v>
      </c>
      <c r="I41" s="27">
        <f t="shared" si="0"/>
        <v>0</v>
      </c>
    </row>
    <row r="42" spans="1:9" ht="84" customHeight="1">
      <c r="A42" s="28" t="s">
        <v>55</v>
      </c>
      <c r="B42" s="25" t="s">
        <v>14</v>
      </c>
      <c r="C42" s="25" t="s">
        <v>24</v>
      </c>
      <c r="D42" s="25" t="s">
        <v>52</v>
      </c>
      <c r="E42" s="24" t="s">
        <v>56</v>
      </c>
      <c r="F42" s="25" t="s">
        <v>27</v>
      </c>
      <c r="G42" s="30">
        <v>45000</v>
      </c>
      <c r="H42" s="27">
        <v>0</v>
      </c>
      <c r="I42" s="27">
        <f t="shared" si="0"/>
        <v>0</v>
      </c>
    </row>
    <row r="43" spans="1:9" ht="95.25" customHeight="1">
      <c r="A43" s="28" t="s">
        <v>57</v>
      </c>
      <c r="B43" s="25" t="s">
        <v>14</v>
      </c>
      <c r="C43" s="25" t="s">
        <v>24</v>
      </c>
      <c r="D43" s="25" t="s">
        <v>52</v>
      </c>
      <c r="E43" s="24" t="s">
        <v>58</v>
      </c>
      <c r="F43" s="25" t="s">
        <v>27</v>
      </c>
      <c r="G43" s="30">
        <v>25000</v>
      </c>
      <c r="H43" s="27">
        <v>0</v>
      </c>
      <c r="I43" s="27">
        <f t="shared" si="0"/>
        <v>0</v>
      </c>
    </row>
    <row r="44" spans="1:9" ht="100.5" customHeight="1">
      <c r="A44" s="31" t="s">
        <v>247</v>
      </c>
      <c r="B44" s="25" t="s">
        <v>14</v>
      </c>
      <c r="C44" s="25" t="s">
        <v>60</v>
      </c>
      <c r="D44" s="25" t="s">
        <v>20</v>
      </c>
      <c r="E44" s="24" t="s">
        <v>64</v>
      </c>
      <c r="F44" s="25" t="s">
        <v>38</v>
      </c>
      <c r="G44" s="30">
        <v>22000</v>
      </c>
      <c r="H44" s="27">
        <v>22000</v>
      </c>
      <c r="I44" s="27">
        <f t="shared" si="0"/>
        <v>100</v>
      </c>
    </row>
    <row r="45" spans="1:9" ht="64.5" customHeight="1">
      <c r="A45" s="28" t="s">
        <v>248</v>
      </c>
      <c r="B45" s="25" t="s">
        <v>14</v>
      </c>
      <c r="C45" s="25" t="s">
        <v>60</v>
      </c>
      <c r="D45" s="25" t="s">
        <v>20</v>
      </c>
      <c r="E45" s="24" t="s">
        <v>61</v>
      </c>
      <c r="F45" s="25" t="s">
        <v>38</v>
      </c>
      <c r="G45" s="30">
        <f>3456821+28000</f>
        <v>3484821</v>
      </c>
      <c r="H45" s="27">
        <v>3484821</v>
      </c>
      <c r="I45" s="27">
        <f t="shared" si="0"/>
        <v>100</v>
      </c>
    </row>
    <row r="46" spans="1:9" ht="125.25" customHeight="1">
      <c r="A46" s="28" t="s">
        <v>62</v>
      </c>
      <c r="B46" s="25" t="s">
        <v>14</v>
      </c>
      <c r="C46" s="25" t="s">
        <v>60</v>
      </c>
      <c r="D46" s="25" t="s">
        <v>20</v>
      </c>
      <c r="E46" s="24" t="s">
        <v>153</v>
      </c>
      <c r="F46" s="25" t="s">
        <v>38</v>
      </c>
      <c r="G46" s="30">
        <v>305300</v>
      </c>
      <c r="H46" s="27">
        <v>305300</v>
      </c>
      <c r="I46" s="27">
        <f t="shared" si="0"/>
        <v>100</v>
      </c>
    </row>
    <row r="47" spans="1:9" ht="87.75" customHeight="1">
      <c r="A47" s="31" t="s">
        <v>249</v>
      </c>
      <c r="B47" s="25" t="s">
        <v>14</v>
      </c>
      <c r="C47" s="25" t="s">
        <v>60</v>
      </c>
      <c r="D47" s="25" t="s">
        <v>20</v>
      </c>
      <c r="E47" s="24" t="s">
        <v>82</v>
      </c>
      <c r="F47" s="25" t="s">
        <v>38</v>
      </c>
      <c r="G47" s="30">
        <f>50000+10000</f>
        <v>60000</v>
      </c>
      <c r="H47" s="27">
        <v>60000</v>
      </c>
      <c r="I47" s="27">
        <f t="shared" si="0"/>
        <v>100</v>
      </c>
    </row>
    <row r="48" spans="1:9" ht="60.75" customHeight="1">
      <c r="A48" s="35" t="s">
        <v>188</v>
      </c>
      <c r="B48" s="25" t="s">
        <v>14</v>
      </c>
      <c r="C48" s="40" t="s">
        <v>60</v>
      </c>
      <c r="D48" s="25" t="s">
        <v>20</v>
      </c>
      <c r="E48" s="24" t="s">
        <v>187</v>
      </c>
      <c r="F48" s="25" t="s">
        <v>38</v>
      </c>
      <c r="G48" s="30">
        <f>20000</f>
        <v>20000</v>
      </c>
      <c r="H48" s="27">
        <v>20000</v>
      </c>
      <c r="I48" s="27">
        <f t="shared" si="0"/>
        <v>100</v>
      </c>
    </row>
    <row r="49" spans="1:9" ht="68.25" customHeight="1">
      <c r="A49" s="28" t="s">
        <v>250</v>
      </c>
      <c r="B49" s="25" t="s">
        <v>14</v>
      </c>
      <c r="C49" s="25" t="s">
        <v>60</v>
      </c>
      <c r="D49" s="25" t="s">
        <v>60</v>
      </c>
      <c r="E49" s="24" t="s">
        <v>63</v>
      </c>
      <c r="F49" s="25" t="s">
        <v>26</v>
      </c>
      <c r="G49" s="30">
        <f>47300-23100</f>
        <v>24200</v>
      </c>
      <c r="H49" s="27">
        <v>24200</v>
      </c>
      <c r="I49" s="27">
        <f t="shared" si="0"/>
        <v>100</v>
      </c>
    </row>
    <row r="50" spans="1:9" ht="81.75" customHeight="1">
      <c r="A50" s="28" t="s">
        <v>251</v>
      </c>
      <c r="B50" s="25" t="s">
        <v>14</v>
      </c>
      <c r="C50" s="25" t="s">
        <v>60</v>
      </c>
      <c r="D50" s="25" t="s">
        <v>60</v>
      </c>
      <c r="E50" s="24" t="s">
        <v>64</v>
      </c>
      <c r="F50" s="25" t="s">
        <v>26</v>
      </c>
      <c r="G50" s="30">
        <f>2000+6000</f>
        <v>8000</v>
      </c>
      <c r="H50" s="27">
        <v>8000</v>
      </c>
      <c r="I50" s="27">
        <f t="shared" si="0"/>
        <v>100</v>
      </c>
    </row>
    <row r="51" spans="1:9" ht="76.5" customHeight="1">
      <c r="A51" s="28" t="s">
        <v>160</v>
      </c>
      <c r="B51" s="25" t="s">
        <v>14</v>
      </c>
      <c r="C51" s="25" t="s">
        <v>60</v>
      </c>
      <c r="D51" s="25" t="s">
        <v>60</v>
      </c>
      <c r="E51" s="24" t="s">
        <v>65</v>
      </c>
      <c r="F51" s="25" t="s">
        <v>26</v>
      </c>
      <c r="G51" s="30">
        <v>15000</v>
      </c>
      <c r="H51" s="27">
        <v>14909.48</v>
      </c>
      <c r="I51" s="27">
        <f t="shared" si="0"/>
        <v>99.39653333333332</v>
      </c>
    </row>
    <row r="52" spans="1:9" ht="99" customHeight="1">
      <c r="A52" s="28" t="s">
        <v>252</v>
      </c>
      <c r="B52" s="25" t="s">
        <v>14</v>
      </c>
      <c r="C52" s="25" t="s">
        <v>60</v>
      </c>
      <c r="D52" s="25" t="s">
        <v>60</v>
      </c>
      <c r="E52" s="24" t="s">
        <v>66</v>
      </c>
      <c r="F52" s="25" t="s">
        <v>22</v>
      </c>
      <c r="G52" s="30">
        <f>1009106.04+148930.89+10000</f>
        <v>1168036.9300000002</v>
      </c>
      <c r="H52" s="27">
        <v>1167295.48</v>
      </c>
      <c r="I52" s="27">
        <f t="shared" si="0"/>
        <v>99.93652169884729</v>
      </c>
    </row>
    <row r="53" spans="1:9" ht="63" customHeight="1">
      <c r="A53" s="28" t="s">
        <v>253</v>
      </c>
      <c r="B53" s="25" t="s">
        <v>14</v>
      </c>
      <c r="C53" s="25" t="s">
        <v>60</v>
      </c>
      <c r="D53" s="25" t="s">
        <v>60</v>
      </c>
      <c r="E53" s="24" t="s">
        <v>66</v>
      </c>
      <c r="F53" s="25" t="s">
        <v>26</v>
      </c>
      <c r="G53" s="30">
        <f>182420+30000-69606.25</f>
        <v>142813.75</v>
      </c>
      <c r="H53" s="27">
        <v>142652.14</v>
      </c>
      <c r="I53" s="27">
        <f t="shared" si="0"/>
        <v>99.88683862723303</v>
      </c>
    </row>
    <row r="54" spans="1:9" ht="33" customHeight="1">
      <c r="A54" s="28" t="s">
        <v>67</v>
      </c>
      <c r="B54" s="25" t="s">
        <v>14</v>
      </c>
      <c r="C54" s="25" t="s">
        <v>60</v>
      </c>
      <c r="D54" s="25" t="s">
        <v>60</v>
      </c>
      <c r="E54" s="24" t="s">
        <v>66</v>
      </c>
      <c r="F54" s="25" t="s">
        <v>27</v>
      </c>
      <c r="G54" s="30">
        <v>1500</v>
      </c>
      <c r="H54" s="27">
        <v>0</v>
      </c>
      <c r="I54" s="27">
        <f t="shared" si="0"/>
        <v>0</v>
      </c>
    </row>
    <row r="55" spans="1:9" ht="78.75" customHeight="1">
      <c r="A55" s="28" t="s">
        <v>161</v>
      </c>
      <c r="B55" s="25" t="s">
        <v>14</v>
      </c>
      <c r="C55" s="25" t="s">
        <v>60</v>
      </c>
      <c r="D55" s="25" t="s">
        <v>60</v>
      </c>
      <c r="E55" s="24" t="s">
        <v>68</v>
      </c>
      <c r="F55" s="25" t="s">
        <v>26</v>
      </c>
      <c r="G55" s="30">
        <v>4300</v>
      </c>
      <c r="H55" s="27">
        <v>1000</v>
      </c>
      <c r="I55" s="27">
        <f t="shared" si="0"/>
        <v>23.25581395348837</v>
      </c>
    </row>
    <row r="56" spans="1:9" ht="69.75" customHeight="1">
      <c r="A56" s="28" t="s">
        <v>357</v>
      </c>
      <c r="B56" s="25" t="s">
        <v>14</v>
      </c>
      <c r="C56" s="25" t="s">
        <v>60</v>
      </c>
      <c r="D56" s="25" t="s">
        <v>60</v>
      </c>
      <c r="E56" s="24" t="s">
        <v>35</v>
      </c>
      <c r="F56" s="25" t="s">
        <v>26</v>
      </c>
      <c r="G56" s="30">
        <f>114800+190000-100000</f>
        <v>204800</v>
      </c>
      <c r="H56" s="27">
        <v>195720</v>
      </c>
      <c r="I56" s="27">
        <f t="shared" si="0"/>
        <v>95.56640625</v>
      </c>
    </row>
    <row r="57" spans="1:9" ht="45" customHeight="1">
      <c r="A57" s="28" t="s">
        <v>162</v>
      </c>
      <c r="B57" s="25" t="s">
        <v>14</v>
      </c>
      <c r="C57" s="25" t="s">
        <v>60</v>
      </c>
      <c r="D57" s="25" t="s">
        <v>60</v>
      </c>
      <c r="E57" s="24" t="s">
        <v>69</v>
      </c>
      <c r="F57" s="25" t="s">
        <v>26</v>
      </c>
      <c r="G57" s="30">
        <f>10000-4000</f>
        <v>6000</v>
      </c>
      <c r="H57" s="27">
        <v>0</v>
      </c>
      <c r="I57" s="27">
        <f t="shared" si="0"/>
        <v>0</v>
      </c>
    </row>
    <row r="58" spans="1:9" ht="60.75" customHeight="1">
      <c r="A58" s="28" t="s">
        <v>163</v>
      </c>
      <c r="B58" s="25" t="s">
        <v>14</v>
      </c>
      <c r="C58" s="25" t="s">
        <v>60</v>
      </c>
      <c r="D58" s="25" t="s">
        <v>60</v>
      </c>
      <c r="E58" s="24" t="s">
        <v>70</v>
      </c>
      <c r="F58" s="25" t="s">
        <v>26</v>
      </c>
      <c r="G58" s="30">
        <v>10000</v>
      </c>
      <c r="H58" s="27">
        <v>10000</v>
      </c>
      <c r="I58" s="27">
        <f t="shared" si="0"/>
        <v>100</v>
      </c>
    </row>
    <row r="59" spans="1:9" ht="53.25" customHeight="1">
      <c r="A59" s="28" t="s">
        <v>237</v>
      </c>
      <c r="B59" s="25" t="s">
        <v>14</v>
      </c>
      <c r="C59" s="25" t="s">
        <v>60</v>
      </c>
      <c r="D59" s="25" t="s">
        <v>60</v>
      </c>
      <c r="E59" s="24" t="s">
        <v>71</v>
      </c>
      <c r="F59" s="25" t="s">
        <v>26</v>
      </c>
      <c r="G59" s="30">
        <f>51000+50000-41000+300000-100000+21000</f>
        <v>281000</v>
      </c>
      <c r="H59" s="27">
        <v>252743.55</v>
      </c>
      <c r="I59" s="27">
        <f t="shared" si="0"/>
        <v>89.94432384341636</v>
      </c>
    </row>
    <row r="60" spans="1:9" ht="41.25" customHeight="1">
      <c r="A60" s="41" t="s">
        <v>254</v>
      </c>
      <c r="B60" s="25" t="s">
        <v>14</v>
      </c>
      <c r="C60" s="25" t="s">
        <v>60</v>
      </c>
      <c r="D60" s="25" t="s">
        <v>60</v>
      </c>
      <c r="E60" s="24" t="s">
        <v>71</v>
      </c>
      <c r="F60" s="25" t="s">
        <v>27</v>
      </c>
      <c r="G60" s="30">
        <v>20000</v>
      </c>
      <c r="H60" s="27">
        <v>20000</v>
      </c>
      <c r="I60" s="27">
        <f t="shared" si="0"/>
        <v>100</v>
      </c>
    </row>
    <row r="61" spans="1:9" ht="74.25" customHeight="1">
      <c r="A61" s="28" t="s">
        <v>164</v>
      </c>
      <c r="B61" s="25" t="s">
        <v>14</v>
      </c>
      <c r="C61" s="25" t="s">
        <v>60</v>
      </c>
      <c r="D61" s="25" t="s">
        <v>60</v>
      </c>
      <c r="E61" s="24" t="s">
        <v>72</v>
      </c>
      <c r="F61" s="25" t="s">
        <v>26</v>
      </c>
      <c r="G61" s="30">
        <v>4000</v>
      </c>
      <c r="H61" s="27">
        <v>4000</v>
      </c>
      <c r="I61" s="27">
        <f t="shared" si="0"/>
        <v>100</v>
      </c>
    </row>
    <row r="62" spans="1:9" ht="93" customHeight="1">
      <c r="A62" s="28" t="s">
        <v>165</v>
      </c>
      <c r="B62" s="25" t="s">
        <v>14</v>
      </c>
      <c r="C62" s="25" t="s">
        <v>60</v>
      </c>
      <c r="D62" s="25" t="s">
        <v>60</v>
      </c>
      <c r="E62" s="24" t="s">
        <v>73</v>
      </c>
      <c r="F62" s="25" t="s">
        <v>26</v>
      </c>
      <c r="G62" s="30">
        <v>6000</v>
      </c>
      <c r="H62" s="27">
        <v>6000</v>
      </c>
      <c r="I62" s="27">
        <f t="shared" si="0"/>
        <v>100</v>
      </c>
    </row>
    <row r="63" spans="1:9" ht="97.5" customHeight="1">
      <c r="A63" s="31" t="s">
        <v>255</v>
      </c>
      <c r="B63" s="25" t="s">
        <v>14</v>
      </c>
      <c r="C63" s="25" t="s">
        <v>60</v>
      </c>
      <c r="D63" s="25" t="s">
        <v>60</v>
      </c>
      <c r="E63" s="24" t="s">
        <v>213</v>
      </c>
      <c r="F63" s="25" t="s">
        <v>26</v>
      </c>
      <c r="G63" s="30">
        <f>85000+85000-85000</f>
        <v>85000</v>
      </c>
      <c r="H63" s="27">
        <v>85000</v>
      </c>
      <c r="I63" s="27">
        <f t="shared" si="0"/>
        <v>100</v>
      </c>
    </row>
    <row r="64" spans="1:9" ht="99.75" customHeight="1">
      <c r="A64" s="31" t="s">
        <v>256</v>
      </c>
      <c r="B64" s="25" t="s">
        <v>14</v>
      </c>
      <c r="C64" s="25" t="s">
        <v>60</v>
      </c>
      <c r="D64" s="25" t="s">
        <v>60</v>
      </c>
      <c r="E64" s="24" t="s">
        <v>220</v>
      </c>
      <c r="F64" s="25" t="s">
        <v>26</v>
      </c>
      <c r="G64" s="30">
        <v>85000</v>
      </c>
      <c r="H64" s="27">
        <v>85000</v>
      </c>
      <c r="I64" s="27">
        <f t="shared" si="0"/>
        <v>100</v>
      </c>
    </row>
    <row r="65" spans="1:9" ht="100.5" customHeight="1">
      <c r="A65" s="28" t="s">
        <v>257</v>
      </c>
      <c r="B65" s="25" t="s">
        <v>14</v>
      </c>
      <c r="C65" s="25" t="s">
        <v>47</v>
      </c>
      <c r="D65" s="25" t="s">
        <v>19</v>
      </c>
      <c r="E65" s="24" t="s">
        <v>74</v>
      </c>
      <c r="F65" s="25" t="s">
        <v>22</v>
      </c>
      <c r="G65" s="30">
        <f>8184919+179000</f>
        <v>8363919</v>
      </c>
      <c r="H65" s="27">
        <v>8340108.8</v>
      </c>
      <c r="I65" s="27">
        <f t="shared" si="0"/>
        <v>99.71532244633168</v>
      </c>
    </row>
    <row r="66" spans="1:9" ht="69" customHeight="1">
      <c r="A66" s="28" t="s">
        <v>258</v>
      </c>
      <c r="B66" s="25" t="s">
        <v>14</v>
      </c>
      <c r="C66" s="25" t="s">
        <v>47</v>
      </c>
      <c r="D66" s="25" t="s">
        <v>19</v>
      </c>
      <c r="E66" s="24" t="s">
        <v>74</v>
      </c>
      <c r="F66" s="25" t="s">
        <v>26</v>
      </c>
      <c r="G66" s="30">
        <f>1972985+15488.07+20000</f>
        <v>2008473.07</v>
      </c>
      <c r="H66" s="27">
        <v>1980710.75</v>
      </c>
      <c r="I66" s="27">
        <f t="shared" si="0"/>
        <v>98.61773999289917</v>
      </c>
    </row>
    <row r="67" spans="1:9" ht="54" customHeight="1">
      <c r="A67" s="28" t="s">
        <v>259</v>
      </c>
      <c r="B67" s="25" t="s">
        <v>14</v>
      </c>
      <c r="C67" s="25" t="s">
        <v>47</v>
      </c>
      <c r="D67" s="25" t="s">
        <v>19</v>
      </c>
      <c r="E67" s="24" t="s">
        <v>74</v>
      </c>
      <c r="F67" s="25" t="s">
        <v>27</v>
      </c>
      <c r="G67" s="30">
        <f>42000-15488.07</f>
        <v>26511.93</v>
      </c>
      <c r="H67" s="27">
        <v>26511.93</v>
      </c>
      <c r="I67" s="27">
        <f t="shared" si="0"/>
        <v>100</v>
      </c>
    </row>
    <row r="68" spans="1:9" ht="115.5" customHeight="1">
      <c r="A68" s="28" t="s">
        <v>75</v>
      </c>
      <c r="B68" s="25" t="s">
        <v>14</v>
      </c>
      <c r="C68" s="25" t="s">
        <v>47</v>
      </c>
      <c r="D68" s="25" t="s">
        <v>19</v>
      </c>
      <c r="E68" s="24" t="s">
        <v>76</v>
      </c>
      <c r="F68" s="25" t="s">
        <v>22</v>
      </c>
      <c r="G68" s="30">
        <v>444816</v>
      </c>
      <c r="H68" s="27">
        <v>443729.29</v>
      </c>
      <c r="I68" s="27">
        <f t="shared" si="0"/>
        <v>99.75569448940685</v>
      </c>
    </row>
    <row r="69" spans="1:9" ht="65.25" customHeight="1">
      <c r="A69" s="28" t="s">
        <v>260</v>
      </c>
      <c r="B69" s="25" t="s">
        <v>14</v>
      </c>
      <c r="C69" s="25" t="s">
        <v>47</v>
      </c>
      <c r="D69" s="25" t="s">
        <v>19</v>
      </c>
      <c r="E69" s="24" t="s">
        <v>76</v>
      </c>
      <c r="F69" s="25" t="s">
        <v>26</v>
      </c>
      <c r="G69" s="30">
        <f>381890+30000</f>
        <v>411890</v>
      </c>
      <c r="H69" s="27">
        <v>405142.8</v>
      </c>
      <c r="I69" s="27">
        <f t="shared" si="0"/>
        <v>98.36189273835248</v>
      </c>
    </row>
    <row r="70" spans="1:9" ht="141.75" customHeight="1">
      <c r="A70" s="28" t="s">
        <v>261</v>
      </c>
      <c r="B70" s="25" t="s">
        <v>14</v>
      </c>
      <c r="C70" s="25" t="s">
        <v>47</v>
      </c>
      <c r="D70" s="25" t="s">
        <v>19</v>
      </c>
      <c r="E70" s="24" t="s">
        <v>77</v>
      </c>
      <c r="F70" s="25" t="s">
        <v>22</v>
      </c>
      <c r="G70" s="30">
        <f>1107335+100000</f>
        <v>1207335</v>
      </c>
      <c r="H70" s="27">
        <v>1205670.49</v>
      </c>
      <c r="I70" s="27">
        <f t="shared" si="0"/>
        <v>99.8621335420575</v>
      </c>
    </row>
    <row r="71" spans="1:9" ht="141.75" customHeight="1">
      <c r="A71" s="28" t="s">
        <v>184</v>
      </c>
      <c r="B71" s="25" t="s">
        <v>14</v>
      </c>
      <c r="C71" s="25" t="s">
        <v>47</v>
      </c>
      <c r="D71" s="25" t="s">
        <v>19</v>
      </c>
      <c r="E71" s="24" t="s">
        <v>78</v>
      </c>
      <c r="F71" s="25" t="s">
        <v>22</v>
      </c>
      <c r="G71" s="30">
        <v>675654</v>
      </c>
      <c r="H71" s="27">
        <v>675654</v>
      </c>
      <c r="I71" s="27">
        <f t="shared" si="0"/>
        <v>100</v>
      </c>
    </row>
    <row r="72" spans="1:9" ht="94.5" customHeight="1">
      <c r="A72" s="28" t="s">
        <v>166</v>
      </c>
      <c r="B72" s="25" t="s">
        <v>14</v>
      </c>
      <c r="C72" s="25" t="s">
        <v>47</v>
      </c>
      <c r="D72" s="25" t="s">
        <v>19</v>
      </c>
      <c r="E72" s="24" t="s">
        <v>79</v>
      </c>
      <c r="F72" s="25" t="s">
        <v>26</v>
      </c>
      <c r="G72" s="30">
        <v>160000</v>
      </c>
      <c r="H72" s="27">
        <v>160000</v>
      </c>
      <c r="I72" s="27">
        <f t="shared" si="0"/>
        <v>100</v>
      </c>
    </row>
    <row r="73" spans="1:9" ht="77.25" customHeight="1">
      <c r="A73" s="28" t="s">
        <v>167</v>
      </c>
      <c r="B73" s="25" t="s">
        <v>14</v>
      </c>
      <c r="C73" s="25" t="s">
        <v>47</v>
      </c>
      <c r="D73" s="25" t="s">
        <v>19</v>
      </c>
      <c r="E73" s="24" t="s">
        <v>80</v>
      </c>
      <c r="F73" s="25" t="s">
        <v>26</v>
      </c>
      <c r="G73" s="30">
        <v>60000</v>
      </c>
      <c r="H73" s="27">
        <v>55000</v>
      </c>
      <c r="I73" s="27">
        <f t="shared" si="0"/>
        <v>91.66666666666666</v>
      </c>
    </row>
    <row r="74" spans="1:9" ht="54.75" customHeight="1">
      <c r="A74" s="31" t="s">
        <v>262</v>
      </c>
      <c r="B74" s="25" t="s">
        <v>14</v>
      </c>
      <c r="C74" s="25" t="s">
        <v>47</v>
      </c>
      <c r="D74" s="25" t="s">
        <v>19</v>
      </c>
      <c r="E74" s="24" t="s">
        <v>211</v>
      </c>
      <c r="F74" s="25" t="s">
        <v>26</v>
      </c>
      <c r="G74" s="30">
        <v>50000</v>
      </c>
      <c r="H74" s="27">
        <v>43000</v>
      </c>
      <c r="I74" s="27">
        <f t="shared" si="0"/>
        <v>86</v>
      </c>
    </row>
    <row r="75" spans="1:9" ht="57.75" customHeight="1">
      <c r="A75" s="28" t="s">
        <v>358</v>
      </c>
      <c r="B75" s="25" t="s">
        <v>14</v>
      </c>
      <c r="C75" s="25" t="s">
        <v>47</v>
      </c>
      <c r="D75" s="25" t="s">
        <v>19</v>
      </c>
      <c r="E75" s="24" t="s">
        <v>81</v>
      </c>
      <c r="F75" s="25" t="s">
        <v>26</v>
      </c>
      <c r="G75" s="30">
        <f>50000-20000</f>
        <v>30000</v>
      </c>
      <c r="H75" s="27">
        <v>30000</v>
      </c>
      <c r="I75" s="27">
        <f t="shared" si="0"/>
        <v>100</v>
      </c>
    </row>
    <row r="76" spans="1:9" ht="70.5" customHeight="1">
      <c r="A76" s="31" t="s">
        <v>263</v>
      </c>
      <c r="B76" s="25" t="s">
        <v>14</v>
      </c>
      <c r="C76" s="25" t="s">
        <v>47</v>
      </c>
      <c r="D76" s="25" t="s">
        <v>19</v>
      </c>
      <c r="E76" s="24" t="s">
        <v>192</v>
      </c>
      <c r="F76" s="25" t="s">
        <v>26</v>
      </c>
      <c r="G76" s="30">
        <f>20000+120000</f>
        <v>140000</v>
      </c>
      <c r="H76" s="27">
        <v>139961.93</v>
      </c>
      <c r="I76" s="27">
        <f t="shared" si="0"/>
        <v>99.97280714285714</v>
      </c>
    </row>
    <row r="77" spans="1:9" ht="66" customHeight="1">
      <c r="A77" s="41" t="s">
        <v>264</v>
      </c>
      <c r="B77" s="40" t="s">
        <v>14</v>
      </c>
      <c r="C77" s="40" t="s">
        <v>47</v>
      </c>
      <c r="D77" s="40" t="s">
        <v>19</v>
      </c>
      <c r="E77" s="42" t="s">
        <v>193</v>
      </c>
      <c r="F77" s="40" t="s">
        <v>26</v>
      </c>
      <c r="G77" s="29">
        <v>150000</v>
      </c>
      <c r="H77" s="27">
        <v>150000</v>
      </c>
      <c r="I77" s="27">
        <f t="shared" si="0"/>
        <v>100</v>
      </c>
    </row>
    <row r="78" spans="1:9" ht="48.75" customHeight="1">
      <c r="A78" s="28" t="s">
        <v>162</v>
      </c>
      <c r="B78" s="25" t="s">
        <v>14</v>
      </c>
      <c r="C78" s="25" t="s">
        <v>47</v>
      </c>
      <c r="D78" s="25" t="s">
        <v>19</v>
      </c>
      <c r="E78" s="24" t="s">
        <v>69</v>
      </c>
      <c r="F78" s="25" t="s">
        <v>26</v>
      </c>
      <c r="G78" s="30">
        <f>4000</f>
        <v>4000</v>
      </c>
      <c r="H78" s="27">
        <v>0</v>
      </c>
      <c r="I78" s="27">
        <f t="shared" si="0"/>
        <v>0</v>
      </c>
    </row>
    <row r="79" spans="1:9" ht="57.75" customHeight="1">
      <c r="A79" s="28" t="s">
        <v>168</v>
      </c>
      <c r="B79" s="25" t="s">
        <v>14</v>
      </c>
      <c r="C79" s="25" t="s">
        <v>47</v>
      </c>
      <c r="D79" s="25" t="s">
        <v>19</v>
      </c>
      <c r="E79" s="24" t="s">
        <v>83</v>
      </c>
      <c r="F79" s="25" t="s">
        <v>26</v>
      </c>
      <c r="G79" s="30">
        <v>10000</v>
      </c>
      <c r="H79" s="27">
        <v>9990</v>
      </c>
      <c r="I79" s="27">
        <f t="shared" si="0"/>
        <v>99.9</v>
      </c>
    </row>
    <row r="80" spans="1:9" ht="54.75" customHeight="1">
      <c r="A80" s="28" t="s">
        <v>359</v>
      </c>
      <c r="B80" s="25" t="s">
        <v>14</v>
      </c>
      <c r="C80" s="25" t="s">
        <v>85</v>
      </c>
      <c r="D80" s="25" t="s">
        <v>19</v>
      </c>
      <c r="E80" s="24" t="s">
        <v>87</v>
      </c>
      <c r="F80" s="25" t="s">
        <v>88</v>
      </c>
      <c r="G80" s="30">
        <f>2226700-726700-16501.75-12203.67</f>
        <v>1471294.58</v>
      </c>
      <c r="H80" s="27">
        <v>1471294.58</v>
      </c>
      <c r="I80" s="27">
        <f t="shared" si="0"/>
        <v>100</v>
      </c>
    </row>
    <row r="81" spans="1:9" ht="55.5" customHeight="1">
      <c r="A81" s="31" t="s">
        <v>265</v>
      </c>
      <c r="B81" s="25" t="s">
        <v>14</v>
      </c>
      <c r="C81" s="25" t="s">
        <v>85</v>
      </c>
      <c r="D81" s="25" t="s">
        <v>59</v>
      </c>
      <c r="E81" s="42" t="s">
        <v>204</v>
      </c>
      <c r="F81" s="25" t="s">
        <v>88</v>
      </c>
      <c r="G81" s="30">
        <v>348902.2</v>
      </c>
      <c r="H81" s="27">
        <v>348902.2</v>
      </c>
      <c r="I81" s="27">
        <f aca="true" t="shared" si="1" ref="I81:I101">H81/G81*100</f>
        <v>100</v>
      </c>
    </row>
    <row r="82" spans="1:9" ht="55.5" customHeight="1">
      <c r="A82" s="31" t="s">
        <v>265</v>
      </c>
      <c r="B82" s="25" t="s">
        <v>14</v>
      </c>
      <c r="C82" s="25" t="s">
        <v>85</v>
      </c>
      <c r="D82" s="25" t="s">
        <v>59</v>
      </c>
      <c r="E82" s="42" t="s">
        <v>89</v>
      </c>
      <c r="F82" s="25" t="s">
        <v>88</v>
      </c>
      <c r="G82" s="30">
        <v>447883.78</v>
      </c>
      <c r="H82" s="27">
        <v>446036.35</v>
      </c>
      <c r="I82" s="27">
        <f t="shared" si="1"/>
        <v>99.58752022678739</v>
      </c>
    </row>
    <row r="83" spans="1:9" ht="56.25" customHeight="1">
      <c r="A83" s="31" t="s">
        <v>266</v>
      </c>
      <c r="B83" s="25" t="s">
        <v>14</v>
      </c>
      <c r="C83" s="25" t="s">
        <v>85</v>
      </c>
      <c r="D83" s="25" t="s">
        <v>59</v>
      </c>
      <c r="E83" s="42" t="s">
        <v>202</v>
      </c>
      <c r="F83" s="25" t="s">
        <v>88</v>
      </c>
      <c r="G83" s="30">
        <v>509161.45</v>
      </c>
      <c r="H83" s="27">
        <v>509161.45</v>
      </c>
      <c r="I83" s="27">
        <f t="shared" si="1"/>
        <v>100</v>
      </c>
    </row>
    <row r="84" spans="1:9" ht="89.25" customHeight="1">
      <c r="A84" s="31" t="s">
        <v>267</v>
      </c>
      <c r="B84" s="25" t="s">
        <v>14</v>
      </c>
      <c r="C84" s="25" t="s">
        <v>85</v>
      </c>
      <c r="D84" s="25" t="s">
        <v>59</v>
      </c>
      <c r="E84" s="42" t="s">
        <v>206</v>
      </c>
      <c r="F84" s="25" t="s">
        <v>88</v>
      </c>
      <c r="G84" s="30">
        <v>144900</v>
      </c>
      <c r="H84" s="27">
        <v>144900</v>
      </c>
      <c r="I84" s="27">
        <f t="shared" si="1"/>
        <v>100</v>
      </c>
    </row>
    <row r="85" spans="1:9" ht="68.25" customHeight="1">
      <c r="A85" s="28" t="s">
        <v>268</v>
      </c>
      <c r="B85" s="25" t="s">
        <v>14</v>
      </c>
      <c r="C85" s="25" t="s">
        <v>32</v>
      </c>
      <c r="D85" s="25" t="s">
        <v>20</v>
      </c>
      <c r="E85" s="24" t="s">
        <v>90</v>
      </c>
      <c r="F85" s="25" t="s">
        <v>26</v>
      </c>
      <c r="G85" s="29">
        <f>190300-20000-5000-15300-15300+15300</f>
        <v>150000</v>
      </c>
      <c r="H85" s="27">
        <v>149500</v>
      </c>
      <c r="I85" s="27">
        <f t="shared" si="1"/>
        <v>99.66666666666667</v>
      </c>
    </row>
    <row r="86" spans="1:9" ht="50.25" customHeight="1">
      <c r="A86" s="31" t="s">
        <v>269</v>
      </c>
      <c r="B86" s="25" t="s">
        <v>14</v>
      </c>
      <c r="C86" s="25" t="s">
        <v>32</v>
      </c>
      <c r="D86" s="25" t="s">
        <v>20</v>
      </c>
      <c r="E86" s="24" t="s">
        <v>90</v>
      </c>
      <c r="F86" s="25" t="s">
        <v>27</v>
      </c>
      <c r="G86" s="30">
        <v>5000</v>
      </c>
      <c r="H86" s="27">
        <v>5000</v>
      </c>
      <c r="I86" s="27">
        <f t="shared" si="1"/>
        <v>100</v>
      </c>
    </row>
    <row r="87" spans="1:9" ht="43.5" customHeight="1">
      <c r="A87" s="19" t="s">
        <v>270</v>
      </c>
      <c r="B87" s="20" t="s">
        <v>91</v>
      </c>
      <c r="C87" s="20" t="s">
        <v>15</v>
      </c>
      <c r="D87" s="20" t="s">
        <v>15</v>
      </c>
      <c r="E87" s="20" t="s">
        <v>16</v>
      </c>
      <c r="F87" s="20" t="s">
        <v>17</v>
      </c>
      <c r="G87" s="21">
        <f>SUM(G88:G92)</f>
        <v>3110877</v>
      </c>
      <c r="H87" s="21">
        <f>SUM(H88:H92)</f>
        <v>3057696.01</v>
      </c>
      <c r="I87" s="21">
        <f t="shared" si="1"/>
        <v>98.29048239451447</v>
      </c>
    </row>
    <row r="88" spans="1:9" s="5" customFormat="1" ht="96" customHeight="1">
      <c r="A88" s="28" t="s">
        <v>92</v>
      </c>
      <c r="B88" s="25" t="s">
        <v>91</v>
      </c>
      <c r="C88" s="25" t="s">
        <v>19</v>
      </c>
      <c r="D88" s="25" t="s">
        <v>59</v>
      </c>
      <c r="E88" s="24" t="s">
        <v>93</v>
      </c>
      <c r="F88" s="25" t="s">
        <v>22</v>
      </c>
      <c r="G88" s="30">
        <v>1001805</v>
      </c>
      <c r="H88" s="27">
        <v>1000747.26</v>
      </c>
      <c r="I88" s="27">
        <f t="shared" si="1"/>
        <v>99.89441657807657</v>
      </c>
    </row>
    <row r="89" spans="1:9" ht="99.75" customHeight="1">
      <c r="A89" s="43" t="s">
        <v>271</v>
      </c>
      <c r="B89" s="25" t="s">
        <v>91</v>
      </c>
      <c r="C89" s="25" t="s">
        <v>19</v>
      </c>
      <c r="D89" s="25" t="s">
        <v>59</v>
      </c>
      <c r="E89" s="24" t="s">
        <v>94</v>
      </c>
      <c r="F89" s="25" t="s">
        <v>22</v>
      </c>
      <c r="G89" s="30">
        <f>1415873-9000+9000</f>
        <v>1415873</v>
      </c>
      <c r="H89" s="27">
        <v>1366568.16</v>
      </c>
      <c r="I89" s="27">
        <f t="shared" si="1"/>
        <v>96.51770744975008</v>
      </c>
    </row>
    <row r="90" spans="1:9" ht="69" customHeight="1">
      <c r="A90" s="22" t="s">
        <v>272</v>
      </c>
      <c r="B90" s="25" t="s">
        <v>91</v>
      </c>
      <c r="C90" s="25" t="s">
        <v>19</v>
      </c>
      <c r="D90" s="25" t="s">
        <v>59</v>
      </c>
      <c r="E90" s="24" t="s">
        <v>94</v>
      </c>
      <c r="F90" s="25" t="s">
        <v>26</v>
      </c>
      <c r="G90" s="30">
        <f>727800-133000</f>
        <v>594800</v>
      </c>
      <c r="H90" s="27">
        <v>591981.59</v>
      </c>
      <c r="I90" s="27">
        <f t="shared" si="1"/>
        <v>99.52615837256221</v>
      </c>
    </row>
    <row r="91" spans="1:9" ht="50.25" customHeight="1">
      <c r="A91" s="22" t="s">
        <v>273</v>
      </c>
      <c r="B91" s="25" t="s">
        <v>91</v>
      </c>
      <c r="C91" s="44" t="s">
        <v>19</v>
      </c>
      <c r="D91" s="25" t="s">
        <v>59</v>
      </c>
      <c r="E91" s="24" t="s">
        <v>94</v>
      </c>
      <c r="F91" s="25" t="s">
        <v>27</v>
      </c>
      <c r="G91" s="30">
        <f>8500+9000</f>
        <v>17500</v>
      </c>
      <c r="H91" s="27">
        <v>17500</v>
      </c>
      <c r="I91" s="27">
        <f t="shared" si="1"/>
        <v>100</v>
      </c>
    </row>
    <row r="92" spans="1:9" ht="115.5" customHeight="1">
      <c r="A92" s="28" t="s">
        <v>274</v>
      </c>
      <c r="B92" s="44" t="s">
        <v>91</v>
      </c>
      <c r="C92" s="45" t="s">
        <v>19</v>
      </c>
      <c r="D92" s="44" t="s">
        <v>59</v>
      </c>
      <c r="E92" s="24" t="s">
        <v>95</v>
      </c>
      <c r="F92" s="44" t="s">
        <v>22</v>
      </c>
      <c r="G92" s="30">
        <f>136900-47001-9000</f>
        <v>80899</v>
      </c>
      <c r="H92" s="27">
        <v>80899</v>
      </c>
      <c r="I92" s="27">
        <f t="shared" si="1"/>
        <v>100</v>
      </c>
    </row>
    <row r="93" spans="1:9" ht="53.25" customHeight="1">
      <c r="A93" s="19" t="s">
        <v>275</v>
      </c>
      <c r="B93" s="20" t="s">
        <v>96</v>
      </c>
      <c r="C93" s="20" t="s">
        <v>15</v>
      </c>
      <c r="D93" s="20" t="s">
        <v>15</v>
      </c>
      <c r="E93" s="20" t="s">
        <v>16</v>
      </c>
      <c r="F93" s="20" t="s">
        <v>17</v>
      </c>
      <c r="G93" s="21">
        <f>SUM(G94:G99)</f>
        <v>7323427.49</v>
      </c>
      <c r="H93" s="21">
        <f>SUM(H94:H99)</f>
        <v>7211559.62</v>
      </c>
      <c r="I93" s="21">
        <f t="shared" si="1"/>
        <v>98.47246565692426</v>
      </c>
    </row>
    <row r="94" spans="1:9" s="9" customFormat="1" ht="128.25" customHeight="1">
      <c r="A94" s="28" t="s">
        <v>23</v>
      </c>
      <c r="B94" s="25" t="s">
        <v>96</v>
      </c>
      <c r="C94" s="25" t="s">
        <v>19</v>
      </c>
      <c r="D94" s="25" t="s">
        <v>44</v>
      </c>
      <c r="E94" s="24" t="s">
        <v>25</v>
      </c>
      <c r="F94" s="25" t="s">
        <v>22</v>
      </c>
      <c r="G94" s="30">
        <f>5259065.62-103084+10124.35</f>
        <v>5166105.97</v>
      </c>
      <c r="H94" s="27">
        <v>5161313.43</v>
      </c>
      <c r="I94" s="27">
        <f t="shared" si="1"/>
        <v>99.90723109382907</v>
      </c>
    </row>
    <row r="95" spans="1:9" ht="81.75" customHeight="1">
      <c r="A95" s="28" t="s">
        <v>229</v>
      </c>
      <c r="B95" s="25" t="s">
        <v>96</v>
      </c>
      <c r="C95" s="25" t="s">
        <v>19</v>
      </c>
      <c r="D95" s="25" t="s">
        <v>44</v>
      </c>
      <c r="E95" s="24" t="s">
        <v>25</v>
      </c>
      <c r="F95" s="25" t="s">
        <v>26</v>
      </c>
      <c r="G95" s="30">
        <f>647442-55000-10124.35-11310.83</f>
        <v>571006.8200000001</v>
      </c>
      <c r="H95" s="27">
        <v>512187.69</v>
      </c>
      <c r="I95" s="27">
        <f t="shared" si="1"/>
        <v>89.69904947895367</v>
      </c>
    </row>
    <row r="96" spans="1:9" ht="70.5" customHeight="1">
      <c r="A96" s="28" t="s">
        <v>97</v>
      </c>
      <c r="B96" s="25" t="s">
        <v>96</v>
      </c>
      <c r="C96" s="25" t="s">
        <v>19</v>
      </c>
      <c r="D96" s="25" t="s">
        <v>44</v>
      </c>
      <c r="E96" s="24" t="s">
        <v>25</v>
      </c>
      <c r="F96" s="25" t="s">
        <v>27</v>
      </c>
      <c r="G96" s="30">
        <v>16000</v>
      </c>
      <c r="H96" s="27">
        <v>8189.91</v>
      </c>
      <c r="I96" s="27">
        <f t="shared" si="1"/>
        <v>51.1869375</v>
      </c>
    </row>
    <row r="97" spans="1:9" ht="162.75" customHeight="1">
      <c r="A97" s="31" t="s">
        <v>276</v>
      </c>
      <c r="B97" s="25" t="s">
        <v>96</v>
      </c>
      <c r="C97" s="25" t="s">
        <v>19</v>
      </c>
      <c r="D97" s="25" t="s">
        <v>44</v>
      </c>
      <c r="E97" s="24" t="s">
        <v>194</v>
      </c>
      <c r="F97" s="25" t="s">
        <v>22</v>
      </c>
      <c r="G97" s="30">
        <f>116615.86+14049.01+3148.18</f>
        <v>133813.05</v>
      </c>
      <c r="H97" s="27">
        <v>93392.59</v>
      </c>
      <c r="I97" s="27">
        <f t="shared" si="1"/>
        <v>69.79333480553653</v>
      </c>
    </row>
    <row r="98" spans="1:9" ht="111" customHeight="1">
      <c r="A98" s="31" t="s">
        <v>277</v>
      </c>
      <c r="B98" s="25" t="s">
        <v>96</v>
      </c>
      <c r="C98" s="25" t="s">
        <v>19</v>
      </c>
      <c r="D98" s="25" t="s">
        <v>44</v>
      </c>
      <c r="E98" s="24" t="s">
        <v>194</v>
      </c>
      <c r="F98" s="25" t="s">
        <v>26</v>
      </c>
      <c r="G98" s="30">
        <v>6690.65</v>
      </c>
      <c r="H98" s="27">
        <v>6665</v>
      </c>
      <c r="I98" s="27">
        <f t="shared" si="1"/>
        <v>99.6166291765374</v>
      </c>
    </row>
    <row r="99" spans="1:9" ht="136.5" customHeight="1">
      <c r="A99" s="31" t="s">
        <v>278</v>
      </c>
      <c r="B99" s="25" t="s">
        <v>96</v>
      </c>
      <c r="C99" s="45" t="s">
        <v>19</v>
      </c>
      <c r="D99" s="25" t="s">
        <v>33</v>
      </c>
      <c r="E99" s="24" t="s">
        <v>214</v>
      </c>
      <c r="F99" s="25" t="s">
        <v>27</v>
      </c>
      <c r="G99" s="30">
        <v>1429811</v>
      </c>
      <c r="H99" s="27">
        <v>1429811</v>
      </c>
      <c r="I99" s="27">
        <f t="shared" si="1"/>
        <v>100</v>
      </c>
    </row>
    <row r="100" spans="1:9" ht="76.5" customHeight="1">
      <c r="A100" s="19" t="s">
        <v>279</v>
      </c>
      <c r="B100" s="20" t="s">
        <v>98</v>
      </c>
      <c r="C100" s="20" t="s">
        <v>15</v>
      </c>
      <c r="D100" s="20" t="s">
        <v>15</v>
      </c>
      <c r="E100" s="20" t="s">
        <v>16</v>
      </c>
      <c r="F100" s="20" t="s">
        <v>17</v>
      </c>
      <c r="G100" s="21">
        <f>SUM(G101:G184)</f>
        <v>186374502.18999997</v>
      </c>
      <c r="H100" s="21">
        <f>SUM(H101:H184)</f>
        <v>183291324.38999996</v>
      </c>
      <c r="I100" s="21">
        <f t="shared" si="1"/>
        <v>98.34570836473281</v>
      </c>
    </row>
    <row r="101" spans="1:10" s="9" customFormat="1" ht="129" customHeight="1">
      <c r="A101" s="28" t="s">
        <v>280</v>
      </c>
      <c r="B101" s="25" t="s">
        <v>98</v>
      </c>
      <c r="C101" s="25" t="s">
        <v>60</v>
      </c>
      <c r="D101" s="25" t="s">
        <v>19</v>
      </c>
      <c r="E101" s="24" t="s">
        <v>99</v>
      </c>
      <c r="F101" s="25" t="s">
        <v>22</v>
      </c>
      <c r="G101" s="30">
        <f>3237320+45000+143400</f>
        <v>3425720</v>
      </c>
      <c r="H101" s="27">
        <v>3425120</v>
      </c>
      <c r="I101" s="27">
        <f t="shared" si="1"/>
        <v>99.98248543371905</v>
      </c>
      <c r="J101" s="13"/>
    </row>
    <row r="102" spans="1:9" ht="95.25" customHeight="1">
      <c r="A102" s="28" t="s">
        <v>281</v>
      </c>
      <c r="B102" s="25" t="s">
        <v>98</v>
      </c>
      <c r="C102" s="25" t="s">
        <v>60</v>
      </c>
      <c r="D102" s="25" t="s">
        <v>19</v>
      </c>
      <c r="E102" s="24" t="s">
        <v>99</v>
      </c>
      <c r="F102" s="25" t="s">
        <v>26</v>
      </c>
      <c r="G102" s="30">
        <f>3896000-350000+45000-239765</f>
        <v>3351235</v>
      </c>
      <c r="H102" s="27">
        <v>3037187.41</v>
      </c>
      <c r="I102" s="27">
        <f aca="true" t="shared" si="2" ref="I102:I165">H102/G102*100</f>
        <v>90.62889979365816</v>
      </c>
    </row>
    <row r="103" spans="1:9" ht="99.75" customHeight="1">
      <c r="A103" s="28" t="s">
        <v>282</v>
      </c>
      <c r="B103" s="25" t="s">
        <v>98</v>
      </c>
      <c r="C103" s="25" t="s">
        <v>60</v>
      </c>
      <c r="D103" s="25" t="s">
        <v>19</v>
      </c>
      <c r="E103" s="24" t="s">
        <v>99</v>
      </c>
      <c r="F103" s="25" t="s">
        <v>38</v>
      </c>
      <c r="G103" s="30">
        <f>28739000+5284.43-5284.43+1087600</f>
        <v>29826600</v>
      </c>
      <c r="H103" s="27">
        <v>28591887.55</v>
      </c>
      <c r="I103" s="27">
        <f t="shared" si="2"/>
        <v>95.86036474153944</v>
      </c>
    </row>
    <row r="104" spans="1:9" ht="76.5" customHeight="1">
      <c r="A104" s="28" t="s">
        <v>283</v>
      </c>
      <c r="B104" s="25" t="s">
        <v>98</v>
      </c>
      <c r="C104" s="25" t="s">
        <v>60</v>
      </c>
      <c r="D104" s="25" t="s">
        <v>19</v>
      </c>
      <c r="E104" s="24" t="s">
        <v>99</v>
      </c>
      <c r="F104" s="25" t="s">
        <v>27</v>
      </c>
      <c r="G104" s="30">
        <f>93000-50235</f>
        <v>42765</v>
      </c>
      <c r="H104" s="27">
        <v>41356.92</v>
      </c>
      <c r="I104" s="27">
        <f t="shared" si="2"/>
        <v>96.70740091196072</v>
      </c>
    </row>
    <row r="105" spans="1:9" ht="81" customHeight="1">
      <c r="A105" s="28" t="s">
        <v>360</v>
      </c>
      <c r="B105" s="25" t="s">
        <v>98</v>
      </c>
      <c r="C105" s="25" t="s">
        <v>60</v>
      </c>
      <c r="D105" s="25" t="s">
        <v>19</v>
      </c>
      <c r="E105" s="24" t="s">
        <v>100</v>
      </c>
      <c r="F105" s="25" t="s">
        <v>38</v>
      </c>
      <c r="G105" s="30">
        <f>50000-20000</f>
        <v>30000</v>
      </c>
      <c r="H105" s="27">
        <v>0</v>
      </c>
      <c r="I105" s="27">
        <f t="shared" si="2"/>
        <v>0</v>
      </c>
    </row>
    <row r="106" spans="1:9" ht="247.5" customHeight="1">
      <c r="A106" s="28" t="s">
        <v>284</v>
      </c>
      <c r="B106" s="25" t="s">
        <v>98</v>
      </c>
      <c r="C106" s="25" t="s">
        <v>60</v>
      </c>
      <c r="D106" s="25" t="s">
        <v>19</v>
      </c>
      <c r="E106" s="24" t="s">
        <v>104</v>
      </c>
      <c r="F106" s="25" t="s">
        <v>22</v>
      </c>
      <c r="G106" s="29">
        <f>2927971-291395</f>
        <v>2636576</v>
      </c>
      <c r="H106" s="27">
        <v>2636576</v>
      </c>
      <c r="I106" s="27">
        <f t="shared" si="2"/>
        <v>100</v>
      </c>
    </row>
    <row r="107" spans="1:9" ht="207" customHeight="1">
      <c r="A107" s="28" t="s">
        <v>361</v>
      </c>
      <c r="B107" s="25" t="s">
        <v>98</v>
      </c>
      <c r="C107" s="25" t="s">
        <v>60</v>
      </c>
      <c r="D107" s="25" t="s">
        <v>19</v>
      </c>
      <c r="E107" s="24" t="s">
        <v>104</v>
      </c>
      <c r="F107" s="25" t="s">
        <v>26</v>
      </c>
      <c r="G107" s="29">
        <f>20955-2145</f>
        <v>18810</v>
      </c>
      <c r="H107" s="27">
        <v>18810</v>
      </c>
      <c r="I107" s="27">
        <f t="shared" si="2"/>
        <v>100</v>
      </c>
    </row>
    <row r="108" spans="1:9" ht="206.25" customHeight="1">
      <c r="A108" s="28" t="s">
        <v>362</v>
      </c>
      <c r="B108" s="25" t="s">
        <v>98</v>
      </c>
      <c r="C108" s="25" t="s">
        <v>60</v>
      </c>
      <c r="D108" s="25" t="s">
        <v>19</v>
      </c>
      <c r="E108" s="24" t="s">
        <v>104</v>
      </c>
      <c r="F108" s="25" t="s">
        <v>38</v>
      </c>
      <c r="G108" s="30">
        <f>20664505-509325</f>
        <v>20155180</v>
      </c>
      <c r="H108" s="27">
        <v>20155180</v>
      </c>
      <c r="I108" s="27">
        <f t="shared" si="2"/>
        <v>100</v>
      </c>
    </row>
    <row r="109" spans="1:9" ht="68.25" customHeight="1">
      <c r="A109" s="28" t="s">
        <v>169</v>
      </c>
      <c r="B109" s="25" t="s">
        <v>98</v>
      </c>
      <c r="C109" s="25" t="s">
        <v>60</v>
      </c>
      <c r="D109" s="25" t="s">
        <v>19</v>
      </c>
      <c r="E109" s="24" t="s">
        <v>101</v>
      </c>
      <c r="F109" s="25" t="s">
        <v>26</v>
      </c>
      <c r="G109" s="30">
        <v>147500</v>
      </c>
      <c r="H109" s="27">
        <v>117170.43</v>
      </c>
      <c r="I109" s="27">
        <f t="shared" si="2"/>
        <v>79.43757966101694</v>
      </c>
    </row>
    <row r="110" spans="1:9" ht="75.75" customHeight="1">
      <c r="A110" s="28" t="s">
        <v>102</v>
      </c>
      <c r="B110" s="25" t="s">
        <v>98</v>
      </c>
      <c r="C110" s="25" t="s">
        <v>60</v>
      </c>
      <c r="D110" s="25" t="s">
        <v>19</v>
      </c>
      <c r="E110" s="24" t="s">
        <v>101</v>
      </c>
      <c r="F110" s="25" t="s">
        <v>38</v>
      </c>
      <c r="G110" s="30">
        <v>425000</v>
      </c>
      <c r="H110" s="27">
        <v>350000</v>
      </c>
      <c r="I110" s="27">
        <f t="shared" si="2"/>
        <v>82.35294117647058</v>
      </c>
    </row>
    <row r="111" spans="1:9" ht="176.25" customHeight="1">
      <c r="A111" s="28" t="s">
        <v>285</v>
      </c>
      <c r="B111" s="25" t="s">
        <v>98</v>
      </c>
      <c r="C111" s="25" t="s">
        <v>60</v>
      </c>
      <c r="D111" s="25" t="s">
        <v>19</v>
      </c>
      <c r="E111" s="24" t="s">
        <v>103</v>
      </c>
      <c r="F111" s="25" t="s">
        <v>26</v>
      </c>
      <c r="G111" s="30">
        <f>155540-76784</f>
        <v>78756</v>
      </c>
      <c r="H111" s="27">
        <v>78756</v>
      </c>
      <c r="I111" s="27">
        <f t="shared" si="2"/>
        <v>100</v>
      </c>
    </row>
    <row r="112" spans="1:9" ht="177.75" customHeight="1">
      <c r="A112" s="28" t="s">
        <v>286</v>
      </c>
      <c r="B112" s="25" t="s">
        <v>98</v>
      </c>
      <c r="C112" s="25" t="s">
        <v>60</v>
      </c>
      <c r="D112" s="25" t="s">
        <v>19</v>
      </c>
      <c r="E112" s="24" t="s">
        <v>103</v>
      </c>
      <c r="F112" s="25" t="s">
        <v>38</v>
      </c>
      <c r="G112" s="30">
        <f>1080892-154554</f>
        <v>926338</v>
      </c>
      <c r="H112" s="27">
        <v>926338</v>
      </c>
      <c r="I112" s="27">
        <f t="shared" si="2"/>
        <v>100</v>
      </c>
    </row>
    <row r="113" spans="1:9" ht="69.75" customHeight="1">
      <c r="A113" s="31" t="s">
        <v>287</v>
      </c>
      <c r="B113" s="25" t="s">
        <v>98</v>
      </c>
      <c r="C113" s="25" t="s">
        <v>60</v>
      </c>
      <c r="D113" s="25" t="s">
        <v>19</v>
      </c>
      <c r="E113" s="24" t="s">
        <v>201</v>
      </c>
      <c r="F113" s="25" t="s">
        <v>38</v>
      </c>
      <c r="G113" s="30">
        <v>5284.43</v>
      </c>
      <c r="H113" s="27">
        <v>3773.32</v>
      </c>
      <c r="I113" s="27">
        <f t="shared" si="2"/>
        <v>71.40448449501649</v>
      </c>
    </row>
    <row r="114" spans="1:9" ht="69" customHeight="1">
      <c r="A114" s="31" t="s">
        <v>288</v>
      </c>
      <c r="B114" s="25" t="s">
        <v>98</v>
      </c>
      <c r="C114" s="25" t="s">
        <v>60</v>
      </c>
      <c r="D114" s="25" t="s">
        <v>19</v>
      </c>
      <c r="E114" s="24" t="s">
        <v>207</v>
      </c>
      <c r="F114" s="25" t="s">
        <v>38</v>
      </c>
      <c r="G114" s="30">
        <v>85597</v>
      </c>
      <c r="H114" s="27">
        <v>85597</v>
      </c>
      <c r="I114" s="27">
        <f t="shared" si="2"/>
        <v>100</v>
      </c>
    </row>
    <row r="115" spans="1:9" ht="81.75" customHeight="1">
      <c r="A115" s="31" t="s">
        <v>289</v>
      </c>
      <c r="B115" s="25" t="s">
        <v>98</v>
      </c>
      <c r="C115" s="25" t="s">
        <v>60</v>
      </c>
      <c r="D115" s="25" t="s">
        <v>19</v>
      </c>
      <c r="E115" s="24" t="s">
        <v>195</v>
      </c>
      <c r="F115" s="25" t="s">
        <v>38</v>
      </c>
      <c r="G115" s="30">
        <v>226000</v>
      </c>
      <c r="H115" s="27">
        <v>224218</v>
      </c>
      <c r="I115" s="27">
        <f t="shared" si="2"/>
        <v>99.21150442477877</v>
      </c>
    </row>
    <row r="116" spans="1:9" ht="84.75" customHeight="1">
      <c r="A116" s="31" t="s">
        <v>290</v>
      </c>
      <c r="B116" s="25" t="s">
        <v>98</v>
      </c>
      <c r="C116" s="25" t="s">
        <v>60</v>
      </c>
      <c r="D116" s="25" t="s">
        <v>19</v>
      </c>
      <c r="E116" s="24" t="s">
        <v>196</v>
      </c>
      <c r="F116" s="25" t="s">
        <v>38</v>
      </c>
      <c r="G116" s="30">
        <f>1140+1150</f>
        <v>2290</v>
      </c>
      <c r="H116" s="27">
        <v>2290</v>
      </c>
      <c r="I116" s="27">
        <f t="shared" si="2"/>
        <v>100</v>
      </c>
    </row>
    <row r="117" spans="1:9" ht="125.25" customHeight="1">
      <c r="A117" s="28" t="s">
        <v>291</v>
      </c>
      <c r="B117" s="25" t="s">
        <v>98</v>
      </c>
      <c r="C117" s="25" t="s">
        <v>60</v>
      </c>
      <c r="D117" s="25" t="s">
        <v>20</v>
      </c>
      <c r="E117" s="24" t="s">
        <v>99</v>
      </c>
      <c r="F117" s="25" t="s">
        <v>22</v>
      </c>
      <c r="G117" s="30">
        <f>2552580-35680-248100-81991.34</f>
        <v>2186808.66</v>
      </c>
      <c r="H117" s="27">
        <v>2186808.66</v>
      </c>
      <c r="I117" s="27">
        <f t="shared" si="2"/>
        <v>100</v>
      </c>
    </row>
    <row r="118" spans="1:9" ht="98.25" customHeight="1">
      <c r="A118" s="28" t="s">
        <v>292</v>
      </c>
      <c r="B118" s="25" t="s">
        <v>98</v>
      </c>
      <c r="C118" s="25" t="s">
        <v>60</v>
      </c>
      <c r="D118" s="25" t="s">
        <v>20</v>
      </c>
      <c r="E118" s="24" t="s">
        <v>99</v>
      </c>
      <c r="F118" s="25" t="s">
        <v>26</v>
      </c>
      <c r="G118" s="30">
        <f>679000-50400-45987.41-60000</f>
        <v>522612.58999999997</v>
      </c>
      <c r="H118" s="27">
        <v>522612.59</v>
      </c>
      <c r="I118" s="27">
        <f t="shared" si="2"/>
        <v>100.00000000000003</v>
      </c>
    </row>
    <row r="119" spans="1:9" ht="125.25" customHeight="1">
      <c r="A119" s="46" t="s">
        <v>293</v>
      </c>
      <c r="B119" s="25" t="s">
        <v>98</v>
      </c>
      <c r="C119" s="25" t="s">
        <v>60</v>
      </c>
      <c r="D119" s="25" t="s">
        <v>20</v>
      </c>
      <c r="E119" s="24" t="s">
        <v>221</v>
      </c>
      <c r="F119" s="25" t="s">
        <v>26</v>
      </c>
      <c r="G119" s="30">
        <v>32753</v>
      </c>
      <c r="H119" s="27">
        <v>32753</v>
      </c>
      <c r="I119" s="27">
        <f t="shared" si="2"/>
        <v>100</v>
      </c>
    </row>
    <row r="120" spans="1:9" ht="150" customHeight="1">
      <c r="A120" s="28" t="s">
        <v>294</v>
      </c>
      <c r="B120" s="25" t="s">
        <v>98</v>
      </c>
      <c r="C120" s="25" t="s">
        <v>60</v>
      </c>
      <c r="D120" s="25" t="s">
        <v>20</v>
      </c>
      <c r="E120" s="24" t="s">
        <v>108</v>
      </c>
      <c r="F120" s="25" t="s">
        <v>22</v>
      </c>
      <c r="G120" s="30">
        <f>2880900-98280+203100-159429.19</f>
        <v>2826290.81</v>
      </c>
      <c r="H120" s="27">
        <v>2826090.57</v>
      </c>
      <c r="I120" s="27">
        <f t="shared" si="2"/>
        <v>99.99291509566915</v>
      </c>
    </row>
    <row r="121" spans="1:9" ht="114" customHeight="1">
      <c r="A121" s="28" t="s">
        <v>295</v>
      </c>
      <c r="B121" s="25" t="s">
        <v>98</v>
      </c>
      <c r="C121" s="25" t="s">
        <v>60</v>
      </c>
      <c r="D121" s="25" t="s">
        <v>20</v>
      </c>
      <c r="E121" s="24" t="s">
        <v>108</v>
      </c>
      <c r="F121" s="25" t="s">
        <v>26</v>
      </c>
      <c r="G121" s="30">
        <f>9800200-100000-11400-85597-171585-628170.6-400+42936.76+184804.21</f>
        <v>9030788.370000001</v>
      </c>
      <c r="H121" s="27">
        <v>8862204.44</v>
      </c>
      <c r="I121" s="27">
        <f t="shared" si="2"/>
        <v>98.1332313072463</v>
      </c>
    </row>
    <row r="122" spans="1:9" ht="117" customHeight="1">
      <c r="A122" s="28" t="s">
        <v>296</v>
      </c>
      <c r="B122" s="25" t="s">
        <v>98</v>
      </c>
      <c r="C122" s="25" t="s">
        <v>60</v>
      </c>
      <c r="D122" s="25" t="s">
        <v>20</v>
      </c>
      <c r="E122" s="24" t="s">
        <v>108</v>
      </c>
      <c r="F122" s="25" t="s">
        <v>38</v>
      </c>
      <c r="G122" s="30">
        <f>6783580+70000-35000</f>
        <v>6818580</v>
      </c>
      <c r="H122" s="27">
        <v>6818580</v>
      </c>
      <c r="I122" s="27">
        <f t="shared" si="2"/>
        <v>100</v>
      </c>
    </row>
    <row r="123" spans="1:9" ht="99" customHeight="1">
      <c r="A123" s="28" t="s">
        <v>297</v>
      </c>
      <c r="B123" s="25" t="s">
        <v>98</v>
      </c>
      <c r="C123" s="25" t="s">
        <v>60</v>
      </c>
      <c r="D123" s="25" t="s">
        <v>20</v>
      </c>
      <c r="E123" s="24" t="s">
        <v>108</v>
      </c>
      <c r="F123" s="25" t="s">
        <v>27</v>
      </c>
      <c r="G123" s="30">
        <f>749500-120570+400-9393-184804.21</f>
        <v>435132.79000000004</v>
      </c>
      <c r="H123" s="27">
        <v>349231.55</v>
      </c>
      <c r="I123" s="27">
        <f t="shared" si="2"/>
        <v>80.2586148472056</v>
      </c>
    </row>
    <row r="124" spans="1:9" ht="241.5" customHeight="1">
      <c r="A124" s="28" t="s">
        <v>298</v>
      </c>
      <c r="B124" s="25" t="s">
        <v>98</v>
      </c>
      <c r="C124" s="25" t="s">
        <v>60</v>
      </c>
      <c r="D124" s="25" t="s">
        <v>20</v>
      </c>
      <c r="E124" s="24" t="s">
        <v>109</v>
      </c>
      <c r="F124" s="25" t="s">
        <v>22</v>
      </c>
      <c r="G124" s="29">
        <f>39704839-1653063.96</f>
        <v>38051775.04</v>
      </c>
      <c r="H124" s="27">
        <v>38051775.04</v>
      </c>
      <c r="I124" s="27">
        <f t="shared" si="2"/>
        <v>100</v>
      </c>
    </row>
    <row r="125" spans="1:9" ht="201" customHeight="1">
      <c r="A125" s="28" t="s">
        <v>185</v>
      </c>
      <c r="B125" s="25" t="s">
        <v>98</v>
      </c>
      <c r="C125" s="25" t="s">
        <v>60</v>
      </c>
      <c r="D125" s="25" t="s">
        <v>20</v>
      </c>
      <c r="E125" s="24" t="s">
        <v>109</v>
      </c>
      <c r="F125" s="25" t="s">
        <v>26</v>
      </c>
      <c r="G125" s="29">
        <v>224529</v>
      </c>
      <c r="H125" s="27">
        <v>216859.63</v>
      </c>
      <c r="I125" s="27">
        <f t="shared" si="2"/>
        <v>96.58424078849504</v>
      </c>
    </row>
    <row r="126" spans="1:9" ht="201.75" customHeight="1">
      <c r="A126" s="28" t="s">
        <v>299</v>
      </c>
      <c r="B126" s="25" t="s">
        <v>98</v>
      </c>
      <c r="C126" s="25" t="s">
        <v>60</v>
      </c>
      <c r="D126" s="25" t="s">
        <v>20</v>
      </c>
      <c r="E126" s="24" t="s">
        <v>109</v>
      </c>
      <c r="F126" s="25" t="s">
        <v>38</v>
      </c>
      <c r="G126" s="30">
        <f>37813512-647171+536584-1874643.22</f>
        <v>35828281.78</v>
      </c>
      <c r="H126" s="27">
        <v>35600000.83</v>
      </c>
      <c r="I126" s="27">
        <f t="shared" si="2"/>
        <v>99.36284706198936</v>
      </c>
    </row>
    <row r="127" spans="1:9" ht="68.25" customHeight="1">
      <c r="A127" s="28" t="s">
        <v>300</v>
      </c>
      <c r="B127" s="25" t="s">
        <v>98</v>
      </c>
      <c r="C127" s="25" t="s">
        <v>60</v>
      </c>
      <c r="D127" s="25" t="s">
        <v>20</v>
      </c>
      <c r="E127" s="24" t="s">
        <v>105</v>
      </c>
      <c r="F127" s="25" t="s">
        <v>38</v>
      </c>
      <c r="G127" s="30">
        <f>1578600+131500</f>
        <v>1710100</v>
      </c>
      <c r="H127" s="27">
        <v>1710100</v>
      </c>
      <c r="I127" s="27">
        <f t="shared" si="2"/>
        <v>100</v>
      </c>
    </row>
    <row r="128" spans="1:9" ht="67.5" customHeight="1">
      <c r="A128" s="28" t="s">
        <v>170</v>
      </c>
      <c r="B128" s="25" t="s">
        <v>98</v>
      </c>
      <c r="C128" s="25" t="s">
        <v>60</v>
      </c>
      <c r="D128" s="25" t="s">
        <v>20</v>
      </c>
      <c r="E128" s="24" t="s">
        <v>106</v>
      </c>
      <c r="F128" s="25" t="s">
        <v>26</v>
      </c>
      <c r="G128" s="30">
        <v>527500</v>
      </c>
      <c r="H128" s="27">
        <v>523324.51</v>
      </c>
      <c r="I128" s="27">
        <f t="shared" si="2"/>
        <v>99.20843791469196</v>
      </c>
    </row>
    <row r="129" spans="1:9" ht="79.5" customHeight="1">
      <c r="A129" s="28" t="s">
        <v>107</v>
      </c>
      <c r="B129" s="25" t="s">
        <v>98</v>
      </c>
      <c r="C129" s="25" t="s">
        <v>60</v>
      </c>
      <c r="D129" s="25" t="s">
        <v>20</v>
      </c>
      <c r="E129" s="24" t="s">
        <v>106</v>
      </c>
      <c r="F129" s="25" t="s">
        <v>38</v>
      </c>
      <c r="G129" s="30">
        <v>400000</v>
      </c>
      <c r="H129" s="27">
        <v>363000</v>
      </c>
      <c r="I129" s="27">
        <f t="shared" si="2"/>
        <v>90.75</v>
      </c>
    </row>
    <row r="130" spans="1:9" ht="82.5" customHeight="1">
      <c r="A130" s="28" t="s">
        <v>301</v>
      </c>
      <c r="B130" s="25" t="s">
        <v>98</v>
      </c>
      <c r="C130" s="25" t="s">
        <v>60</v>
      </c>
      <c r="D130" s="25" t="s">
        <v>20</v>
      </c>
      <c r="E130" s="24" t="s">
        <v>157</v>
      </c>
      <c r="F130" s="25" t="s">
        <v>26</v>
      </c>
      <c r="G130" s="30">
        <f>253918.4+8100+82703+54691.61</f>
        <v>399413.01</v>
      </c>
      <c r="H130" s="27">
        <v>399142.31</v>
      </c>
      <c r="I130" s="27">
        <f t="shared" si="2"/>
        <v>99.93222554267824</v>
      </c>
    </row>
    <row r="131" spans="1:9" ht="84" customHeight="1">
      <c r="A131" s="28" t="s">
        <v>363</v>
      </c>
      <c r="B131" s="25" t="s">
        <v>98</v>
      </c>
      <c r="C131" s="25" t="s">
        <v>60</v>
      </c>
      <c r="D131" s="25" t="s">
        <v>20</v>
      </c>
      <c r="E131" s="24" t="s">
        <v>157</v>
      </c>
      <c r="F131" s="25" t="s">
        <v>38</v>
      </c>
      <c r="G131" s="30">
        <f>546081.6+17420+177297+121351.57</f>
        <v>862150.1699999999</v>
      </c>
      <c r="H131" s="27">
        <v>862150.17</v>
      </c>
      <c r="I131" s="27">
        <f t="shared" si="2"/>
        <v>100.00000000000003</v>
      </c>
    </row>
    <row r="132" spans="1:9" ht="96" customHeight="1">
      <c r="A132" s="43" t="s">
        <v>302</v>
      </c>
      <c r="B132" s="25" t="s">
        <v>98</v>
      </c>
      <c r="C132" s="25" t="s">
        <v>60</v>
      </c>
      <c r="D132" s="25" t="s">
        <v>20</v>
      </c>
      <c r="E132" s="24" t="s">
        <v>110</v>
      </c>
      <c r="F132" s="25" t="s">
        <v>26</v>
      </c>
      <c r="G132" s="30">
        <f>149795+44238-11079</f>
        <v>182954</v>
      </c>
      <c r="H132" s="27">
        <v>127106.29</v>
      </c>
      <c r="I132" s="27">
        <f t="shared" si="2"/>
        <v>69.47445259464126</v>
      </c>
    </row>
    <row r="133" spans="1:9" ht="96" customHeight="1">
      <c r="A133" s="43" t="s">
        <v>303</v>
      </c>
      <c r="B133" s="25" t="s">
        <v>98</v>
      </c>
      <c r="C133" s="25" t="s">
        <v>60</v>
      </c>
      <c r="D133" s="25" t="s">
        <v>20</v>
      </c>
      <c r="E133" s="24" t="s">
        <v>110</v>
      </c>
      <c r="F133" s="25" t="s">
        <v>38</v>
      </c>
      <c r="G133" s="30">
        <f>163927.17+52062</f>
        <v>215989.17</v>
      </c>
      <c r="H133" s="27">
        <v>165989.17</v>
      </c>
      <c r="I133" s="27">
        <f t="shared" si="2"/>
        <v>76.85069117122863</v>
      </c>
    </row>
    <row r="134" spans="1:9" ht="99.75" customHeight="1">
      <c r="A134" s="38" t="s">
        <v>304</v>
      </c>
      <c r="B134" s="25" t="s">
        <v>98</v>
      </c>
      <c r="C134" s="25" t="s">
        <v>60</v>
      </c>
      <c r="D134" s="25" t="s">
        <v>20</v>
      </c>
      <c r="E134" s="24" t="s">
        <v>215</v>
      </c>
      <c r="F134" s="25" t="s">
        <v>26</v>
      </c>
      <c r="G134" s="30">
        <v>58700</v>
      </c>
      <c r="H134" s="27">
        <v>57420</v>
      </c>
      <c r="I134" s="27">
        <f t="shared" si="2"/>
        <v>97.81942078364565</v>
      </c>
    </row>
    <row r="135" spans="1:9" ht="96" customHeight="1">
      <c r="A135" s="38" t="s">
        <v>305</v>
      </c>
      <c r="B135" s="25" t="s">
        <v>98</v>
      </c>
      <c r="C135" s="25" t="s">
        <v>60</v>
      </c>
      <c r="D135" s="25" t="s">
        <v>20</v>
      </c>
      <c r="E135" s="24" t="s">
        <v>215</v>
      </c>
      <c r="F135" s="25" t="s">
        <v>38</v>
      </c>
      <c r="G135" s="30">
        <f>87400+30900</f>
        <v>118300</v>
      </c>
      <c r="H135" s="27">
        <v>83126.28</v>
      </c>
      <c r="I135" s="27">
        <f t="shared" si="2"/>
        <v>70.26735418427727</v>
      </c>
    </row>
    <row r="136" spans="1:9" ht="75" customHeight="1">
      <c r="A136" s="28" t="s">
        <v>306</v>
      </c>
      <c r="B136" s="25" t="s">
        <v>98</v>
      </c>
      <c r="C136" s="25" t="s">
        <v>60</v>
      </c>
      <c r="D136" s="25" t="s">
        <v>20</v>
      </c>
      <c r="E136" s="24" t="s">
        <v>112</v>
      </c>
      <c r="F136" s="25" t="s">
        <v>38</v>
      </c>
      <c r="G136" s="30">
        <f>7732400+131500</f>
        <v>7863900</v>
      </c>
      <c r="H136" s="27">
        <v>7863900</v>
      </c>
      <c r="I136" s="27">
        <f t="shared" si="2"/>
        <v>100</v>
      </c>
    </row>
    <row r="137" spans="1:9" ht="121.5" customHeight="1">
      <c r="A137" s="28" t="s">
        <v>111</v>
      </c>
      <c r="B137" s="25" t="s">
        <v>98</v>
      </c>
      <c r="C137" s="25" t="s">
        <v>60</v>
      </c>
      <c r="D137" s="25" t="s">
        <v>20</v>
      </c>
      <c r="E137" s="24" t="s">
        <v>154</v>
      </c>
      <c r="F137" s="25" t="s">
        <v>38</v>
      </c>
      <c r="G137" s="47">
        <v>1580520.67</v>
      </c>
      <c r="H137" s="27">
        <v>1578940.67</v>
      </c>
      <c r="I137" s="27">
        <f t="shared" si="2"/>
        <v>99.90003294294152</v>
      </c>
    </row>
    <row r="138" spans="1:9" ht="126" customHeight="1">
      <c r="A138" s="41" t="s">
        <v>307</v>
      </c>
      <c r="B138" s="25" t="s">
        <v>98</v>
      </c>
      <c r="C138" s="25" t="s">
        <v>60</v>
      </c>
      <c r="D138" s="25" t="s">
        <v>20</v>
      </c>
      <c r="E138" s="24" t="s">
        <v>223</v>
      </c>
      <c r="F138" s="25" t="s">
        <v>38</v>
      </c>
      <c r="G138" s="30">
        <v>1580</v>
      </c>
      <c r="H138" s="27">
        <v>1580</v>
      </c>
      <c r="I138" s="27">
        <f t="shared" si="2"/>
        <v>100</v>
      </c>
    </row>
    <row r="139" spans="1:9" ht="114.75" customHeight="1">
      <c r="A139" s="46" t="s">
        <v>308</v>
      </c>
      <c r="B139" s="25" t="s">
        <v>98</v>
      </c>
      <c r="C139" s="25" t="s">
        <v>60</v>
      </c>
      <c r="D139" s="25" t="s">
        <v>20</v>
      </c>
      <c r="E139" s="24" t="s">
        <v>224</v>
      </c>
      <c r="F139" s="25" t="s">
        <v>38</v>
      </c>
      <c r="G139" s="30">
        <v>129289</v>
      </c>
      <c r="H139" s="27">
        <v>129289</v>
      </c>
      <c r="I139" s="27">
        <f t="shared" si="2"/>
        <v>100</v>
      </c>
    </row>
    <row r="140" spans="1:9" ht="108" customHeight="1">
      <c r="A140" s="28" t="s">
        <v>309</v>
      </c>
      <c r="B140" s="25" t="s">
        <v>98</v>
      </c>
      <c r="C140" s="25" t="s">
        <v>60</v>
      </c>
      <c r="D140" s="25" t="s">
        <v>20</v>
      </c>
      <c r="E140" s="24" t="s">
        <v>113</v>
      </c>
      <c r="F140" s="25" t="s">
        <v>26</v>
      </c>
      <c r="G140" s="30">
        <f>60000-12000</f>
        <v>48000</v>
      </c>
      <c r="H140" s="27">
        <v>0</v>
      </c>
      <c r="I140" s="27">
        <f t="shared" si="2"/>
        <v>0</v>
      </c>
    </row>
    <row r="141" spans="1:9" ht="113.25" customHeight="1">
      <c r="A141" s="28" t="s">
        <v>114</v>
      </c>
      <c r="B141" s="25" t="s">
        <v>98</v>
      </c>
      <c r="C141" s="25" t="s">
        <v>60</v>
      </c>
      <c r="D141" s="25" t="s">
        <v>20</v>
      </c>
      <c r="E141" s="24" t="s">
        <v>113</v>
      </c>
      <c r="F141" s="25" t="s">
        <v>38</v>
      </c>
      <c r="G141" s="30">
        <v>24000</v>
      </c>
      <c r="H141" s="27">
        <v>0</v>
      </c>
      <c r="I141" s="27">
        <f t="shared" si="2"/>
        <v>0</v>
      </c>
    </row>
    <row r="142" spans="1:9" ht="77.25" customHeight="1">
      <c r="A142" s="28" t="s">
        <v>152</v>
      </c>
      <c r="B142" s="25" t="s">
        <v>98</v>
      </c>
      <c r="C142" s="25" t="s">
        <v>60</v>
      </c>
      <c r="D142" s="25" t="s">
        <v>20</v>
      </c>
      <c r="E142" s="24" t="s">
        <v>151</v>
      </c>
      <c r="F142" s="25" t="s">
        <v>38</v>
      </c>
      <c r="G142" s="30">
        <v>140000</v>
      </c>
      <c r="H142" s="27">
        <v>136381</v>
      </c>
      <c r="I142" s="27">
        <f t="shared" si="2"/>
        <v>97.41499999999999</v>
      </c>
    </row>
    <row r="143" spans="1:9" ht="66.75" customHeight="1">
      <c r="A143" s="28" t="s">
        <v>115</v>
      </c>
      <c r="B143" s="25" t="s">
        <v>98</v>
      </c>
      <c r="C143" s="25" t="s">
        <v>60</v>
      </c>
      <c r="D143" s="25" t="s">
        <v>20</v>
      </c>
      <c r="E143" s="24" t="s">
        <v>116</v>
      </c>
      <c r="F143" s="25" t="s">
        <v>38</v>
      </c>
      <c r="G143" s="30">
        <v>10000</v>
      </c>
      <c r="H143" s="27">
        <v>0</v>
      </c>
      <c r="I143" s="27">
        <f t="shared" si="2"/>
        <v>0</v>
      </c>
    </row>
    <row r="144" spans="1:9" ht="67.5" customHeight="1">
      <c r="A144" s="28" t="s">
        <v>171</v>
      </c>
      <c r="B144" s="25" t="s">
        <v>98</v>
      </c>
      <c r="C144" s="25" t="s">
        <v>60</v>
      </c>
      <c r="D144" s="25" t="s">
        <v>20</v>
      </c>
      <c r="E144" s="24" t="s">
        <v>117</v>
      </c>
      <c r="F144" s="25" t="s">
        <v>26</v>
      </c>
      <c r="G144" s="30">
        <v>20000</v>
      </c>
      <c r="H144" s="27">
        <v>0</v>
      </c>
      <c r="I144" s="27">
        <f t="shared" si="2"/>
        <v>0</v>
      </c>
    </row>
    <row r="145" spans="1:9" ht="67.5" customHeight="1">
      <c r="A145" s="28" t="s">
        <v>180</v>
      </c>
      <c r="B145" s="25" t="s">
        <v>98</v>
      </c>
      <c r="C145" s="25" t="s">
        <v>60</v>
      </c>
      <c r="D145" s="25" t="s">
        <v>20</v>
      </c>
      <c r="E145" s="24" t="s">
        <v>117</v>
      </c>
      <c r="F145" s="25" t="s">
        <v>38</v>
      </c>
      <c r="G145" s="30">
        <v>10000</v>
      </c>
      <c r="H145" s="27">
        <v>0</v>
      </c>
      <c r="I145" s="27">
        <f t="shared" si="2"/>
        <v>0</v>
      </c>
    </row>
    <row r="146" spans="1:9" ht="76.5" customHeight="1">
      <c r="A146" s="28" t="s">
        <v>118</v>
      </c>
      <c r="B146" s="25" t="s">
        <v>98</v>
      </c>
      <c r="C146" s="25" t="s">
        <v>60</v>
      </c>
      <c r="D146" s="25" t="s">
        <v>20</v>
      </c>
      <c r="E146" s="24" t="s">
        <v>119</v>
      </c>
      <c r="F146" s="25" t="s">
        <v>38</v>
      </c>
      <c r="G146" s="30">
        <v>10000</v>
      </c>
      <c r="H146" s="27">
        <v>0</v>
      </c>
      <c r="I146" s="27">
        <f t="shared" si="2"/>
        <v>0</v>
      </c>
    </row>
    <row r="147" spans="1:9" ht="99.75" customHeight="1">
      <c r="A147" s="28" t="s">
        <v>172</v>
      </c>
      <c r="B147" s="25" t="s">
        <v>98</v>
      </c>
      <c r="C147" s="25" t="s">
        <v>60</v>
      </c>
      <c r="D147" s="25" t="s">
        <v>20</v>
      </c>
      <c r="E147" s="24" t="s">
        <v>86</v>
      </c>
      <c r="F147" s="25" t="s">
        <v>26</v>
      </c>
      <c r="G147" s="30">
        <v>24400</v>
      </c>
      <c r="H147" s="27">
        <v>0</v>
      </c>
      <c r="I147" s="27">
        <f t="shared" si="2"/>
        <v>0</v>
      </c>
    </row>
    <row r="148" spans="1:9" ht="103.5" customHeight="1">
      <c r="A148" s="28" t="s">
        <v>84</v>
      </c>
      <c r="B148" s="25" t="s">
        <v>98</v>
      </c>
      <c r="C148" s="25" t="s">
        <v>60</v>
      </c>
      <c r="D148" s="25" t="s">
        <v>20</v>
      </c>
      <c r="E148" s="24" t="s">
        <v>86</v>
      </c>
      <c r="F148" s="25" t="s">
        <v>38</v>
      </c>
      <c r="G148" s="30">
        <v>35000</v>
      </c>
      <c r="H148" s="27">
        <v>0</v>
      </c>
      <c r="I148" s="27">
        <f t="shared" si="2"/>
        <v>0</v>
      </c>
    </row>
    <row r="149" spans="1:9" ht="90.75" customHeight="1">
      <c r="A149" s="28" t="s">
        <v>310</v>
      </c>
      <c r="B149" s="25" t="s">
        <v>98</v>
      </c>
      <c r="C149" s="25" t="s">
        <v>60</v>
      </c>
      <c r="D149" s="25" t="s">
        <v>20</v>
      </c>
      <c r="E149" s="24" t="s">
        <v>205</v>
      </c>
      <c r="F149" s="25" t="s">
        <v>38</v>
      </c>
      <c r="G149" s="30">
        <v>5625</v>
      </c>
      <c r="H149" s="27">
        <v>5625</v>
      </c>
      <c r="I149" s="27">
        <f t="shared" si="2"/>
        <v>100</v>
      </c>
    </row>
    <row r="150" spans="1:9" ht="72" customHeight="1">
      <c r="A150" s="31" t="s">
        <v>311</v>
      </c>
      <c r="B150" s="25" t="s">
        <v>98</v>
      </c>
      <c r="C150" s="25" t="s">
        <v>60</v>
      </c>
      <c r="D150" s="25" t="s">
        <v>20</v>
      </c>
      <c r="E150" s="24" t="s">
        <v>216</v>
      </c>
      <c r="F150" s="25" t="s">
        <v>38</v>
      </c>
      <c r="G150" s="30">
        <v>140000</v>
      </c>
      <c r="H150" s="27">
        <v>140000</v>
      </c>
      <c r="I150" s="27">
        <f t="shared" si="2"/>
        <v>100</v>
      </c>
    </row>
    <row r="151" spans="1:9" ht="100.5" customHeight="1">
      <c r="A151" s="31" t="s">
        <v>312</v>
      </c>
      <c r="B151" s="25" t="s">
        <v>98</v>
      </c>
      <c r="C151" s="25" t="s">
        <v>60</v>
      </c>
      <c r="D151" s="25" t="s">
        <v>20</v>
      </c>
      <c r="E151" s="24" t="s">
        <v>217</v>
      </c>
      <c r="F151" s="25" t="s">
        <v>26</v>
      </c>
      <c r="G151" s="30">
        <v>86223</v>
      </c>
      <c r="H151" s="27">
        <v>86223</v>
      </c>
      <c r="I151" s="27">
        <f t="shared" si="2"/>
        <v>100</v>
      </c>
    </row>
    <row r="152" spans="1:9" ht="98.25" customHeight="1">
      <c r="A152" s="31" t="s">
        <v>313</v>
      </c>
      <c r="B152" s="25" t="s">
        <v>98</v>
      </c>
      <c r="C152" s="25" t="s">
        <v>60</v>
      </c>
      <c r="D152" s="25" t="s">
        <v>20</v>
      </c>
      <c r="E152" s="24" t="s">
        <v>217</v>
      </c>
      <c r="F152" s="25" t="s">
        <v>38</v>
      </c>
      <c r="G152" s="30">
        <v>475777.6</v>
      </c>
      <c r="H152" s="27">
        <v>475777.6</v>
      </c>
      <c r="I152" s="27">
        <f t="shared" si="2"/>
        <v>100</v>
      </c>
    </row>
    <row r="153" spans="1:9" ht="79.5" customHeight="1">
      <c r="A153" s="31" t="s">
        <v>314</v>
      </c>
      <c r="B153" s="25" t="s">
        <v>98</v>
      </c>
      <c r="C153" s="25" t="s">
        <v>60</v>
      </c>
      <c r="D153" s="25" t="s">
        <v>20</v>
      </c>
      <c r="E153" s="24" t="s">
        <v>195</v>
      </c>
      <c r="F153" s="25" t="s">
        <v>26</v>
      </c>
      <c r="G153" s="30">
        <f>750000-265000</f>
        <v>485000</v>
      </c>
      <c r="H153" s="27">
        <v>471027.71</v>
      </c>
      <c r="I153" s="27">
        <f t="shared" si="2"/>
        <v>97.11911546391752</v>
      </c>
    </row>
    <row r="154" spans="1:9" ht="81.75" customHeight="1">
      <c r="A154" s="31" t="s">
        <v>315</v>
      </c>
      <c r="B154" s="25" t="s">
        <v>98</v>
      </c>
      <c r="C154" s="25" t="s">
        <v>60</v>
      </c>
      <c r="D154" s="25" t="s">
        <v>20</v>
      </c>
      <c r="E154" s="24" t="s">
        <v>195</v>
      </c>
      <c r="F154" s="25" t="s">
        <v>38</v>
      </c>
      <c r="G154" s="30">
        <f>1324000-335000</f>
        <v>989000</v>
      </c>
      <c r="H154" s="27">
        <v>858060.23</v>
      </c>
      <c r="I154" s="27">
        <f t="shared" si="2"/>
        <v>86.76038725985845</v>
      </c>
    </row>
    <row r="155" spans="1:9" ht="145.5" customHeight="1">
      <c r="A155" s="48" t="s">
        <v>316</v>
      </c>
      <c r="B155" s="25" t="s">
        <v>98</v>
      </c>
      <c r="C155" s="25" t="s">
        <v>60</v>
      </c>
      <c r="D155" s="25" t="s">
        <v>20</v>
      </c>
      <c r="E155" s="24" t="s">
        <v>208</v>
      </c>
      <c r="F155" s="25" t="s">
        <v>26</v>
      </c>
      <c r="G155" s="30">
        <v>600000</v>
      </c>
      <c r="H155" s="27">
        <v>600000</v>
      </c>
      <c r="I155" s="27">
        <f t="shared" si="2"/>
        <v>100</v>
      </c>
    </row>
    <row r="156" spans="1:9" ht="149.25" customHeight="1">
      <c r="A156" s="48" t="s">
        <v>317</v>
      </c>
      <c r="B156" s="25" t="s">
        <v>98</v>
      </c>
      <c r="C156" s="25" t="s">
        <v>60</v>
      </c>
      <c r="D156" s="25" t="s">
        <v>20</v>
      </c>
      <c r="E156" s="24" t="s">
        <v>209</v>
      </c>
      <c r="F156" s="25" t="s">
        <v>26</v>
      </c>
      <c r="G156" s="30">
        <v>6110</v>
      </c>
      <c r="H156" s="27">
        <v>6110</v>
      </c>
      <c r="I156" s="27">
        <f t="shared" si="2"/>
        <v>100</v>
      </c>
    </row>
    <row r="157" spans="1:9" ht="89.25" customHeight="1">
      <c r="A157" s="31" t="s">
        <v>318</v>
      </c>
      <c r="B157" s="25" t="s">
        <v>98</v>
      </c>
      <c r="C157" s="25" t="s">
        <v>60</v>
      </c>
      <c r="D157" s="25" t="s">
        <v>20</v>
      </c>
      <c r="E157" s="24" t="s">
        <v>196</v>
      </c>
      <c r="F157" s="25" t="s">
        <v>26</v>
      </c>
      <c r="G157" s="30">
        <f>3780+4050+3280-6110</f>
        <v>5000</v>
      </c>
      <c r="H157" s="27">
        <v>5000</v>
      </c>
      <c r="I157" s="27">
        <f t="shared" si="2"/>
        <v>100</v>
      </c>
    </row>
    <row r="158" spans="1:9" ht="83.25" customHeight="1">
      <c r="A158" s="31" t="s">
        <v>290</v>
      </c>
      <c r="B158" s="25" t="s">
        <v>98</v>
      </c>
      <c r="C158" s="25" t="s">
        <v>60</v>
      </c>
      <c r="D158" s="25" t="s">
        <v>20</v>
      </c>
      <c r="E158" s="24" t="s">
        <v>196</v>
      </c>
      <c r="F158" s="25" t="s">
        <v>38</v>
      </c>
      <c r="G158" s="30">
        <f>7180+6200-3280</f>
        <v>10100</v>
      </c>
      <c r="H158" s="27">
        <v>10100</v>
      </c>
      <c r="I158" s="27">
        <f t="shared" si="2"/>
        <v>100</v>
      </c>
    </row>
    <row r="159" spans="1:9" ht="102.75" customHeight="1">
      <c r="A159" s="28" t="s">
        <v>173</v>
      </c>
      <c r="B159" s="25" t="s">
        <v>98</v>
      </c>
      <c r="C159" s="25" t="s">
        <v>60</v>
      </c>
      <c r="D159" s="25" t="s">
        <v>29</v>
      </c>
      <c r="E159" s="24" t="s">
        <v>120</v>
      </c>
      <c r="F159" s="25" t="s">
        <v>26</v>
      </c>
      <c r="G159" s="30">
        <v>30000</v>
      </c>
      <c r="H159" s="27">
        <v>4800</v>
      </c>
      <c r="I159" s="27">
        <f t="shared" si="2"/>
        <v>16</v>
      </c>
    </row>
    <row r="160" spans="1:9" ht="111" customHeight="1">
      <c r="A160" s="28" t="s">
        <v>121</v>
      </c>
      <c r="B160" s="25" t="s">
        <v>98</v>
      </c>
      <c r="C160" s="25" t="s">
        <v>60</v>
      </c>
      <c r="D160" s="25" t="s">
        <v>29</v>
      </c>
      <c r="E160" s="24" t="s">
        <v>120</v>
      </c>
      <c r="F160" s="25" t="s">
        <v>38</v>
      </c>
      <c r="G160" s="30">
        <v>20000</v>
      </c>
      <c r="H160" s="27">
        <v>11380</v>
      </c>
      <c r="I160" s="27">
        <f t="shared" si="2"/>
        <v>56.89999999999999</v>
      </c>
    </row>
    <row r="161" spans="1:9" ht="69.75" customHeight="1">
      <c r="A161" s="28" t="s">
        <v>319</v>
      </c>
      <c r="B161" s="25" t="s">
        <v>98</v>
      </c>
      <c r="C161" s="25" t="s">
        <v>60</v>
      </c>
      <c r="D161" s="25" t="s">
        <v>60</v>
      </c>
      <c r="E161" s="24" t="s">
        <v>122</v>
      </c>
      <c r="F161" s="25" t="s">
        <v>38</v>
      </c>
      <c r="G161" s="30">
        <f>-150000+230700+23100</f>
        <v>103800</v>
      </c>
      <c r="H161" s="27">
        <v>103800</v>
      </c>
      <c r="I161" s="27">
        <f t="shared" si="2"/>
        <v>100</v>
      </c>
    </row>
    <row r="162" spans="1:9" ht="83.25" customHeight="1">
      <c r="A162" s="28" t="s">
        <v>320</v>
      </c>
      <c r="B162" s="25" t="s">
        <v>98</v>
      </c>
      <c r="C162" s="25" t="s">
        <v>60</v>
      </c>
      <c r="D162" s="25" t="s">
        <v>60</v>
      </c>
      <c r="E162" s="24" t="s">
        <v>123</v>
      </c>
      <c r="F162" s="25" t="s">
        <v>26</v>
      </c>
      <c r="G162" s="29">
        <f>216300-8400</f>
        <v>207900</v>
      </c>
      <c r="H162" s="27">
        <v>207900</v>
      </c>
      <c r="I162" s="27">
        <f t="shared" si="2"/>
        <v>100</v>
      </c>
    </row>
    <row r="163" spans="1:9" ht="84" customHeight="1">
      <c r="A163" s="28" t="s">
        <v>321</v>
      </c>
      <c r="B163" s="25" t="s">
        <v>98</v>
      </c>
      <c r="C163" s="25" t="s">
        <v>60</v>
      </c>
      <c r="D163" s="25" t="s">
        <v>60</v>
      </c>
      <c r="E163" s="24" t="s">
        <v>123</v>
      </c>
      <c r="F163" s="25" t="s">
        <v>38</v>
      </c>
      <c r="G163" s="30">
        <f>268800+8400</f>
        <v>277200</v>
      </c>
      <c r="H163" s="27">
        <v>277200</v>
      </c>
      <c r="I163" s="27">
        <f t="shared" si="2"/>
        <v>100</v>
      </c>
    </row>
    <row r="164" spans="1:9" ht="95.25" customHeight="1">
      <c r="A164" s="28" t="s">
        <v>186</v>
      </c>
      <c r="B164" s="25" t="s">
        <v>98</v>
      </c>
      <c r="C164" s="25" t="s">
        <v>60</v>
      </c>
      <c r="D164" s="25" t="s">
        <v>60</v>
      </c>
      <c r="E164" s="24" t="s">
        <v>124</v>
      </c>
      <c r="F164" s="25" t="s">
        <v>26</v>
      </c>
      <c r="G164" s="30">
        <v>46200</v>
      </c>
      <c r="H164" s="27">
        <v>46200</v>
      </c>
      <c r="I164" s="27">
        <f t="shared" si="2"/>
        <v>100</v>
      </c>
    </row>
    <row r="165" spans="1:9" ht="113.25" customHeight="1">
      <c r="A165" s="28" t="s">
        <v>322</v>
      </c>
      <c r="B165" s="25" t="s">
        <v>98</v>
      </c>
      <c r="C165" s="25" t="s">
        <v>60</v>
      </c>
      <c r="D165" s="25" t="s">
        <v>60</v>
      </c>
      <c r="E165" s="24" t="s">
        <v>125</v>
      </c>
      <c r="F165" s="25" t="s">
        <v>26</v>
      </c>
      <c r="G165" s="30">
        <f>60000-10000</f>
        <v>50000</v>
      </c>
      <c r="H165" s="27">
        <v>50000</v>
      </c>
      <c r="I165" s="27">
        <f t="shared" si="2"/>
        <v>100</v>
      </c>
    </row>
    <row r="166" spans="1:9" ht="117" customHeight="1">
      <c r="A166" s="28" t="s">
        <v>323</v>
      </c>
      <c r="B166" s="25" t="s">
        <v>98</v>
      </c>
      <c r="C166" s="25" t="s">
        <v>60</v>
      </c>
      <c r="D166" s="25" t="s">
        <v>60</v>
      </c>
      <c r="E166" s="24" t="s">
        <v>125</v>
      </c>
      <c r="F166" s="25" t="s">
        <v>38</v>
      </c>
      <c r="G166" s="30">
        <f>65000-10000</f>
        <v>55000</v>
      </c>
      <c r="H166" s="27">
        <v>6250</v>
      </c>
      <c r="I166" s="27">
        <f aca="true" t="shared" si="3" ref="I166:I184">H166/G166*100</f>
        <v>11.363636363636363</v>
      </c>
    </row>
    <row r="167" spans="1:9" ht="80.25" customHeight="1">
      <c r="A167" s="28" t="s">
        <v>364</v>
      </c>
      <c r="B167" s="25" t="s">
        <v>98</v>
      </c>
      <c r="C167" s="25" t="s">
        <v>60</v>
      </c>
      <c r="D167" s="25" t="s">
        <v>60</v>
      </c>
      <c r="E167" s="24" t="s">
        <v>65</v>
      </c>
      <c r="F167" s="25" t="s">
        <v>26</v>
      </c>
      <c r="G167" s="30">
        <f>52100-9662</f>
        <v>42438</v>
      </c>
      <c r="H167" s="27">
        <v>42382.69</v>
      </c>
      <c r="I167" s="27">
        <f t="shared" si="3"/>
        <v>99.86966869315236</v>
      </c>
    </row>
    <row r="168" spans="1:9" ht="84" customHeight="1">
      <c r="A168" s="28" t="s">
        <v>324</v>
      </c>
      <c r="B168" s="25" t="s">
        <v>98</v>
      </c>
      <c r="C168" s="25" t="s">
        <v>60</v>
      </c>
      <c r="D168" s="25" t="s">
        <v>60</v>
      </c>
      <c r="E168" s="24" t="s">
        <v>65</v>
      </c>
      <c r="F168" s="25" t="s">
        <v>38</v>
      </c>
      <c r="G168" s="30">
        <f>30000+9662</f>
        <v>39662</v>
      </c>
      <c r="H168" s="27">
        <v>39661.96</v>
      </c>
      <c r="I168" s="27">
        <f t="shared" si="3"/>
        <v>99.9998991477989</v>
      </c>
    </row>
    <row r="169" spans="1:9" ht="76.5" customHeight="1">
      <c r="A169" s="28" t="s">
        <v>174</v>
      </c>
      <c r="B169" s="25" t="s">
        <v>98</v>
      </c>
      <c r="C169" s="25" t="s">
        <v>60</v>
      </c>
      <c r="D169" s="25" t="s">
        <v>60</v>
      </c>
      <c r="E169" s="24" t="s">
        <v>126</v>
      </c>
      <c r="F169" s="25" t="s">
        <v>26</v>
      </c>
      <c r="G169" s="30">
        <v>18800</v>
      </c>
      <c r="H169" s="27">
        <v>13220</v>
      </c>
      <c r="I169" s="27">
        <f t="shared" si="3"/>
        <v>70.31914893617022</v>
      </c>
    </row>
    <row r="170" spans="1:9" ht="86.25" customHeight="1">
      <c r="A170" s="28" t="s">
        <v>127</v>
      </c>
      <c r="B170" s="25" t="s">
        <v>98</v>
      </c>
      <c r="C170" s="39" t="s">
        <v>60</v>
      </c>
      <c r="D170" s="25" t="s">
        <v>60</v>
      </c>
      <c r="E170" s="24" t="s">
        <v>128</v>
      </c>
      <c r="F170" s="25" t="s">
        <v>38</v>
      </c>
      <c r="G170" s="30">
        <v>44000</v>
      </c>
      <c r="H170" s="27">
        <v>0</v>
      </c>
      <c r="I170" s="27">
        <f t="shared" si="3"/>
        <v>0</v>
      </c>
    </row>
    <row r="171" spans="1:9" ht="104.25" customHeight="1">
      <c r="A171" s="28" t="s">
        <v>148</v>
      </c>
      <c r="B171" s="39" t="s">
        <v>98</v>
      </c>
      <c r="C171" s="39" t="s">
        <v>60</v>
      </c>
      <c r="D171" s="39" t="s">
        <v>49</v>
      </c>
      <c r="E171" s="24" t="s">
        <v>130</v>
      </c>
      <c r="F171" s="39" t="s">
        <v>22</v>
      </c>
      <c r="G171" s="27">
        <v>4672600</v>
      </c>
      <c r="H171" s="27">
        <v>4597785.24</v>
      </c>
      <c r="I171" s="27">
        <f t="shared" si="3"/>
        <v>98.39886230364252</v>
      </c>
    </row>
    <row r="172" spans="1:9" ht="53.25" customHeight="1">
      <c r="A172" s="28" t="s">
        <v>325</v>
      </c>
      <c r="B172" s="39" t="s">
        <v>98</v>
      </c>
      <c r="C172" s="39" t="s">
        <v>60</v>
      </c>
      <c r="D172" s="39" t="s">
        <v>49</v>
      </c>
      <c r="E172" s="24" t="s">
        <v>130</v>
      </c>
      <c r="F172" s="39" t="s">
        <v>26</v>
      </c>
      <c r="G172" s="30">
        <f>1369000+200000+100000-18600-2100+35000</f>
        <v>1683300</v>
      </c>
      <c r="H172" s="27">
        <v>1651291.38</v>
      </c>
      <c r="I172" s="27">
        <f t="shared" si="3"/>
        <v>98.09846016752807</v>
      </c>
    </row>
    <row r="173" spans="1:9" ht="39.75" customHeight="1">
      <c r="A173" s="28" t="s">
        <v>326</v>
      </c>
      <c r="B173" s="39" t="s">
        <v>98</v>
      </c>
      <c r="C173" s="39" t="s">
        <v>60</v>
      </c>
      <c r="D173" s="39" t="s">
        <v>49</v>
      </c>
      <c r="E173" s="24" t="s">
        <v>130</v>
      </c>
      <c r="F173" s="39" t="s">
        <v>27</v>
      </c>
      <c r="G173" s="30">
        <f>39000+18600+2100</f>
        <v>59700</v>
      </c>
      <c r="H173" s="27">
        <v>52223.79</v>
      </c>
      <c r="I173" s="27">
        <f t="shared" si="3"/>
        <v>87.47703517587941</v>
      </c>
    </row>
    <row r="174" spans="1:9" ht="52.5" customHeight="1">
      <c r="A174" s="28" t="s">
        <v>175</v>
      </c>
      <c r="B174" s="39" t="s">
        <v>98</v>
      </c>
      <c r="C174" s="39" t="s">
        <v>60</v>
      </c>
      <c r="D174" s="39" t="s">
        <v>49</v>
      </c>
      <c r="E174" s="24" t="s">
        <v>129</v>
      </c>
      <c r="F174" s="39" t="s">
        <v>26</v>
      </c>
      <c r="G174" s="30">
        <v>30000</v>
      </c>
      <c r="H174" s="27">
        <v>7000</v>
      </c>
      <c r="I174" s="27">
        <f t="shared" si="3"/>
        <v>23.333333333333332</v>
      </c>
    </row>
    <row r="175" spans="1:9" ht="66.75" customHeight="1">
      <c r="A175" s="28" t="s">
        <v>176</v>
      </c>
      <c r="B175" s="39" t="s">
        <v>98</v>
      </c>
      <c r="C175" s="39" t="s">
        <v>60</v>
      </c>
      <c r="D175" s="39" t="s">
        <v>49</v>
      </c>
      <c r="E175" s="24" t="s">
        <v>145</v>
      </c>
      <c r="F175" s="39" t="s">
        <v>26</v>
      </c>
      <c r="G175" s="30">
        <v>10000</v>
      </c>
      <c r="H175" s="27">
        <v>0</v>
      </c>
      <c r="I175" s="27">
        <f t="shared" si="3"/>
        <v>0</v>
      </c>
    </row>
    <row r="176" spans="1:9" ht="126" customHeight="1">
      <c r="A176" s="28" t="s">
        <v>23</v>
      </c>
      <c r="B176" s="39" t="s">
        <v>98</v>
      </c>
      <c r="C176" s="39" t="s">
        <v>60</v>
      </c>
      <c r="D176" s="39" t="s">
        <v>49</v>
      </c>
      <c r="E176" s="24" t="s">
        <v>25</v>
      </c>
      <c r="F176" s="39" t="s">
        <v>22</v>
      </c>
      <c r="G176" s="30">
        <v>2211600</v>
      </c>
      <c r="H176" s="27">
        <v>2186603.02</v>
      </c>
      <c r="I176" s="27">
        <f t="shared" si="3"/>
        <v>98.86973322481461</v>
      </c>
    </row>
    <row r="177" spans="1:9" ht="87" customHeight="1">
      <c r="A177" s="28" t="s">
        <v>229</v>
      </c>
      <c r="B177" s="39" t="s">
        <v>98</v>
      </c>
      <c r="C177" s="39" t="s">
        <v>60</v>
      </c>
      <c r="D177" s="39" t="s">
        <v>49</v>
      </c>
      <c r="E177" s="24" t="s">
        <v>25</v>
      </c>
      <c r="F177" s="39" t="s">
        <v>26</v>
      </c>
      <c r="G177" s="30">
        <f>137900+150000</f>
        <v>287900</v>
      </c>
      <c r="H177" s="27">
        <v>275209.33</v>
      </c>
      <c r="I177" s="27">
        <f t="shared" si="3"/>
        <v>95.59198680097256</v>
      </c>
    </row>
    <row r="178" spans="1:9" ht="105" customHeight="1">
      <c r="A178" s="28" t="s">
        <v>177</v>
      </c>
      <c r="B178" s="39" t="s">
        <v>98</v>
      </c>
      <c r="C178" s="39" t="s">
        <v>60</v>
      </c>
      <c r="D178" s="39" t="s">
        <v>49</v>
      </c>
      <c r="E178" s="24" t="s">
        <v>131</v>
      </c>
      <c r="F178" s="39" t="s">
        <v>26</v>
      </c>
      <c r="G178" s="30">
        <v>10000</v>
      </c>
      <c r="H178" s="27">
        <v>10000</v>
      </c>
      <c r="I178" s="27">
        <f t="shared" si="3"/>
        <v>100</v>
      </c>
    </row>
    <row r="179" spans="1:9" ht="83.25" customHeight="1">
      <c r="A179" s="28" t="s">
        <v>178</v>
      </c>
      <c r="B179" s="39" t="s">
        <v>98</v>
      </c>
      <c r="C179" s="39" t="s">
        <v>60</v>
      </c>
      <c r="D179" s="39" t="s">
        <v>49</v>
      </c>
      <c r="E179" s="24" t="s">
        <v>132</v>
      </c>
      <c r="F179" s="39" t="s">
        <v>26</v>
      </c>
      <c r="G179" s="27">
        <v>5000</v>
      </c>
      <c r="H179" s="27">
        <v>5000</v>
      </c>
      <c r="I179" s="27">
        <f t="shared" si="3"/>
        <v>100</v>
      </c>
    </row>
    <row r="180" spans="1:9" ht="84" customHeight="1">
      <c r="A180" s="49" t="s">
        <v>327</v>
      </c>
      <c r="B180" s="39" t="s">
        <v>98</v>
      </c>
      <c r="C180" s="39" t="s">
        <v>60</v>
      </c>
      <c r="D180" s="39" t="s">
        <v>49</v>
      </c>
      <c r="E180" s="24" t="s">
        <v>225</v>
      </c>
      <c r="F180" s="39" t="s">
        <v>26</v>
      </c>
      <c r="G180" s="27">
        <v>127600</v>
      </c>
      <c r="H180" s="27">
        <v>127600</v>
      </c>
      <c r="I180" s="27">
        <f t="shared" si="3"/>
        <v>100</v>
      </c>
    </row>
    <row r="181" spans="1:9" ht="67.5" customHeight="1">
      <c r="A181" s="49" t="s">
        <v>365</v>
      </c>
      <c r="B181" s="39" t="s">
        <v>98</v>
      </c>
      <c r="C181" s="39" t="s">
        <v>60</v>
      </c>
      <c r="D181" s="39" t="s">
        <v>49</v>
      </c>
      <c r="E181" s="24" t="s">
        <v>226</v>
      </c>
      <c r="F181" s="39" t="s">
        <v>26</v>
      </c>
      <c r="G181" s="27">
        <v>122400</v>
      </c>
      <c r="H181" s="27">
        <v>122400</v>
      </c>
      <c r="I181" s="27">
        <f t="shared" si="3"/>
        <v>100</v>
      </c>
    </row>
    <row r="182" spans="1:9" ht="122.25" customHeight="1">
      <c r="A182" s="28" t="s">
        <v>328</v>
      </c>
      <c r="B182" s="39" t="s">
        <v>98</v>
      </c>
      <c r="C182" s="39" t="s">
        <v>85</v>
      </c>
      <c r="D182" s="39" t="s">
        <v>24</v>
      </c>
      <c r="E182" s="24" t="s">
        <v>133</v>
      </c>
      <c r="F182" s="39" t="s">
        <v>88</v>
      </c>
      <c r="G182" s="50">
        <f>649961+1530666.27-861006.75-286847.15</f>
        <v>1032773.37</v>
      </c>
      <c r="H182" s="27">
        <v>1032773.37</v>
      </c>
      <c r="I182" s="27">
        <f t="shared" si="3"/>
        <v>100</v>
      </c>
    </row>
    <row r="183" spans="1:9" ht="141" customHeight="1">
      <c r="A183" s="28" t="s">
        <v>329</v>
      </c>
      <c r="B183" s="39" t="s">
        <v>98</v>
      </c>
      <c r="C183" s="39" t="s">
        <v>85</v>
      </c>
      <c r="D183" s="39" t="s">
        <v>24</v>
      </c>
      <c r="E183" s="24" t="s">
        <v>133</v>
      </c>
      <c r="F183" s="39" t="s">
        <v>38</v>
      </c>
      <c r="G183" s="30">
        <f>2010760-1530666.27</f>
        <v>480093.73</v>
      </c>
      <c r="H183" s="27">
        <v>480093.73</v>
      </c>
      <c r="I183" s="27">
        <f t="shared" si="3"/>
        <v>100</v>
      </c>
    </row>
    <row r="184" spans="1:9" ht="73.5" customHeight="1">
      <c r="A184" s="28" t="s">
        <v>366</v>
      </c>
      <c r="B184" s="39" t="s">
        <v>98</v>
      </c>
      <c r="C184" s="51" t="s">
        <v>32</v>
      </c>
      <c r="D184" s="39" t="s">
        <v>20</v>
      </c>
      <c r="E184" s="24" t="s">
        <v>90</v>
      </c>
      <c r="F184" s="39" t="s">
        <v>38</v>
      </c>
      <c r="G184" s="30">
        <v>190700</v>
      </c>
      <c r="H184" s="27">
        <v>120000</v>
      </c>
      <c r="I184" s="27">
        <f t="shared" si="3"/>
        <v>62.92606187729418</v>
      </c>
    </row>
    <row r="185" spans="1:9" ht="74.25" customHeight="1">
      <c r="A185" s="19" t="s">
        <v>330</v>
      </c>
      <c r="B185" s="52" t="s">
        <v>134</v>
      </c>
      <c r="C185" s="52" t="s">
        <v>15</v>
      </c>
      <c r="D185" s="52" t="s">
        <v>15</v>
      </c>
      <c r="E185" s="20" t="s">
        <v>16</v>
      </c>
      <c r="F185" s="52" t="s">
        <v>17</v>
      </c>
      <c r="G185" s="21">
        <f>SUM(G186:G199)</f>
        <v>7480610.13</v>
      </c>
      <c r="H185" s="21">
        <f>SUM(H186:H199)</f>
        <v>7398442.46</v>
      </c>
      <c r="I185" s="21">
        <f>H185/G185*100</f>
        <v>98.90159133316575</v>
      </c>
    </row>
    <row r="186" spans="1:9" s="9" customFormat="1" ht="55.5" customHeight="1">
      <c r="A186" s="28" t="s">
        <v>331</v>
      </c>
      <c r="B186" s="39" t="s">
        <v>134</v>
      </c>
      <c r="C186" s="39" t="s">
        <v>19</v>
      </c>
      <c r="D186" s="39" t="s">
        <v>33</v>
      </c>
      <c r="E186" s="24" t="s">
        <v>135</v>
      </c>
      <c r="F186" s="39" t="s">
        <v>26</v>
      </c>
      <c r="G186" s="50">
        <f>50000+53000+25000+17000</f>
        <v>145000</v>
      </c>
      <c r="H186" s="27">
        <v>127500</v>
      </c>
      <c r="I186" s="27">
        <f>H186/G186*100</f>
        <v>87.93103448275862</v>
      </c>
    </row>
    <row r="187" spans="1:9" ht="91.5" customHeight="1">
      <c r="A187" s="28" t="s">
        <v>332</v>
      </c>
      <c r="B187" s="39" t="s">
        <v>134</v>
      </c>
      <c r="C187" s="39" t="s">
        <v>19</v>
      </c>
      <c r="D187" s="39" t="s">
        <v>33</v>
      </c>
      <c r="E187" s="24" t="s">
        <v>142</v>
      </c>
      <c r="F187" s="39" t="s">
        <v>26</v>
      </c>
      <c r="G187" s="50">
        <f>228600-50000+163640+50000-82000-17000</f>
        <v>293240</v>
      </c>
      <c r="H187" s="27">
        <v>285200</v>
      </c>
      <c r="I187" s="27">
        <f aca="true" t="shared" si="4" ref="I187:I199">H187/G187*100</f>
        <v>97.25821852407584</v>
      </c>
    </row>
    <row r="188" spans="1:9" ht="82.5" customHeight="1">
      <c r="A188" s="28" t="s">
        <v>333</v>
      </c>
      <c r="B188" s="39" t="s">
        <v>134</v>
      </c>
      <c r="C188" s="39" t="s">
        <v>19</v>
      </c>
      <c r="D188" s="39" t="s">
        <v>33</v>
      </c>
      <c r="E188" s="24" t="s">
        <v>143</v>
      </c>
      <c r="F188" s="39" t="s">
        <v>26</v>
      </c>
      <c r="G188" s="50">
        <f>50000-35000-897.8</f>
        <v>14102.2</v>
      </c>
      <c r="H188" s="27">
        <v>14102.2</v>
      </c>
      <c r="I188" s="27">
        <f t="shared" si="4"/>
        <v>100</v>
      </c>
    </row>
    <row r="189" spans="1:9" ht="134.25" customHeight="1">
      <c r="A189" s="28" t="s">
        <v>23</v>
      </c>
      <c r="B189" s="39" t="s">
        <v>134</v>
      </c>
      <c r="C189" s="39" t="s">
        <v>19</v>
      </c>
      <c r="D189" s="39" t="s">
        <v>33</v>
      </c>
      <c r="E189" s="24" t="s">
        <v>25</v>
      </c>
      <c r="F189" s="39" t="s">
        <v>22</v>
      </c>
      <c r="G189" s="50">
        <f>4531350.36+8436.96-149542-70400-94999.63</f>
        <v>4224845.69</v>
      </c>
      <c r="H189" s="27">
        <v>4193214.8</v>
      </c>
      <c r="I189" s="27">
        <f t="shared" si="4"/>
        <v>99.25131253728699</v>
      </c>
    </row>
    <row r="190" spans="1:9" ht="81.75" customHeight="1">
      <c r="A190" s="28" t="s">
        <v>229</v>
      </c>
      <c r="B190" s="39" t="s">
        <v>134</v>
      </c>
      <c r="C190" s="39" t="s">
        <v>19</v>
      </c>
      <c r="D190" s="39" t="s">
        <v>33</v>
      </c>
      <c r="E190" s="24" t="s">
        <v>25</v>
      </c>
      <c r="F190" s="39" t="s">
        <v>26</v>
      </c>
      <c r="G190" s="50">
        <f>1920600-542600-578000-8436.96+12000+77600+39900</f>
        <v>921063.04</v>
      </c>
      <c r="H190" s="27">
        <v>914234.71</v>
      </c>
      <c r="I190" s="27">
        <f t="shared" si="4"/>
        <v>99.25864683485725</v>
      </c>
    </row>
    <row r="191" spans="1:9" ht="69" customHeight="1">
      <c r="A191" s="28" t="s">
        <v>334</v>
      </c>
      <c r="B191" s="39" t="s">
        <v>134</v>
      </c>
      <c r="C191" s="39" t="s">
        <v>19</v>
      </c>
      <c r="D191" s="39" t="s">
        <v>33</v>
      </c>
      <c r="E191" s="24" t="s">
        <v>25</v>
      </c>
      <c r="F191" s="39" t="s">
        <v>27</v>
      </c>
      <c r="G191" s="50">
        <f>4200+10800-10956</f>
        <v>4044</v>
      </c>
      <c r="H191" s="27">
        <v>4044</v>
      </c>
      <c r="I191" s="27">
        <f t="shared" si="4"/>
        <v>100</v>
      </c>
    </row>
    <row r="192" spans="1:9" ht="104.25" customHeight="1">
      <c r="A192" s="28" t="s">
        <v>367</v>
      </c>
      <c r="B192" s="39" t="s">
        <v>134</v>
      </c>
      <c r="C192" s="39" t="s">
        <v>19</v>
      </c>
      <c r="D192" s="39" t="s">
        <v>33</v>
      </c>
      <c r="E192" s="24" t="s">
        <v>144</v>
      </c>
      <c r="F192" s="39" t="s">
        <v>26</v>
      </c>
      <c r="G192" s="50">
        <f>10000+18000-18000-377</f>
        <v>9623</v>
      </c>
      <c r="H192" s="27">
        <v>9623</v>
      </c>
      <c r="I192" s="27">
        <f t="shared" si="4"/>
        <v>100</v>
      </c>
    </row>
    <row r="193" spans="1:9" ht="54" customHeight="1">
      <c r="A193" s="28" t="s">
        <v>335</v>
      </c>
      <c r="B193" s="39" t="s">
        <v>134</v>
      </c>
      <c r="C193" s="39" t="s">
        <v>19</v>
      </c>
      <c r="D193" s="39" t="s">
        <v>33</v>
      </c>
      <c r="E193" s="24" t="s">
        <v>136</v>
      </c>
      <c r="F193" s="39" t="s">
        <v>26</v>
      </c>
      <c r="G193" s="50">
        <f>-200000+289000+542600+877000+15625+120000+171585+69542-455478.77</f>
        <v>1429873.23</v>
      </c>
      <c r="H193" s="27">
        <v>1429786.71</v>
      </c>
      <c r="I193" s="27">
        <f t="shared" si="4"/>
        <v>99.99394911393648</v>
      </c>
    </row>
    <row r="194" spans="1:9" ht="37.5" customHeight="1">
      <c r="A194" s="28" t="s">
        <v>336</v>
      </c>
      <c r="B194" s="39" t="s">
        <v>134</v>
      </c>
      <c r="C194" s="39" t="s">
        <v>19</v>
      </c>
      <c r="D194" s="39" t="s">
        <v>33</v>
      </c>
      <c r="E194" s="24" t="s">
        <v>136</v>
      </c>
      <c r="F194" s="39" t="s">
        <v>27</v>
      </c>
      <c r="G194" s="50">
        <f>11000+16212.75+130800-34.78</f>
        <v>157977.97</v>
      </c>
      <c r="H194" s="27">
        <v>157977.57</v>
      </c>
      <c r="I194" s="27">
        <f t="shared" si="4"/>
        <v>99.99974680013929</v>
      </c>
    </row>
    <row r="195" spans="1:9" ht="149.25" customHeight="1" hidden="1">
      <c r="A195" s="28" t="s">
        <v>149</v>
      </c>
      <c r="B195" s="39" t="s">
        <v>134</v>
      </c>
      <c r="C195" s="39" t="s">
        <v>19</v>
      </c>
      <c r="D195" s="39" t="s">
        <v>33</v>
      </c>
      <c r="E195" s="24" t="s">
        <v>179</v>
      </c>
      <c r="F195" s="39" t="s">
        <v>22</v>
      </c>
      <c r="G195" s="50"/>
      <c r="H195" s="27"/>
      <c r="I195" s="27" t="e">
        <f t="shared" si="4"/>
        <v>#DIV/0!</v>
      </c>
    </row>
    <row r="196" spans="1:9" ht="112.5" customHeight="1">
      <c r="A196" s="31" t="s">
        <v>368</v>
      </c>
      <c r="B196" s="39" t="s">
        <v>134</v>
      </c>
      <c r="C196" s="39" t="s">
        <v>19</v>
      </c>
      <c r="D196" s="39" t="s">
        <v>33</v>
      </c>
      <c r="E196" s="24" t="s">
        <v>197</v>
      </c>
      <c r="F196" s="39" t="s">
        <v>26</v>
      </c>
      <c r="G196" s="50">
        <v>38800</v>
      </c>
      <c r="H196" s="27">
        <v>38800</v>
      </c>
      <c r="I196" s="27">
        <f t="shared" si="4"/>
        <v>100</v>
      </c>
    </row>
    <row r="197" spans="1:9" ht="147" customHeight="1">
      <c r="A197" s="31" t="s">
        <v>337</v>
      </c>
      <c r="B197" s="39" t="s">
        <v>134</v>
      </c>
      <c r="C197" s="39" t="s">
        <v>19</v>
      </c>
      <c r="D197" s="39" t="s">
        <v>33</v>
      </c>
      <c r="E197" s="24" t="s">
        <v>179</v>
      </c>
      <c r="F197" s="39" t="s">
        <v>22</v>
      </c>
      <c r="G197" s="50">
        <f>201315-28272</f>
        <v>173043</v>
      </c>
      <c r="H197" s="27">
        <v>154961.47</v>
      </c>
      <c r="I197" s="27">
        <f t="shared" si="4"/>
        <v>89.55084574354352</v>
      </c>
    </row>
    <row r="198" spans="1:9" ht="119.25" customHeight="1">
      <c r="A198" s="31" t="s">
        <v>338</v>
      </c>
      <c r="B198" s="39" t="s">
        <v>134</v>
      </c>
      <c r="C198" s="39" t="s">
        <v>19</v>
      </c>
      <c r="D198" s="39" t="s">
        <v>33</v>
      </c>
      <c r="E198" s="24" t="s">
        <v>179</v>
      </c>
      <c r="F198" s="39" t="s">
        <v>26</v>
      </c>
      <c r="G198" s="27">
        <v>50638</v>
      </c>
      <c r="H198" s="27">
        <v>50638</v>
      </c>
      <c r="I198" s="27">
        <f t="shared" si="4"/>
        <v>100</v>
      </c>
    </row>
    <row r="199" spans="1:9" ht="72.75" customHeight="1">
      <c r="A199" s="28" t="s">
        <v>339</v>
      </c>
      <c r="B199" s="39" t="s">
        <v>134</v>
      </c>
      <c r="C199" s="39" t="s">
        <v>24</v>
      </c>
      <c r="D199" s="39" t="s">
        <v>52</v>
      </c>
      <c r="E199" s="24" t="s">
        <v>137</v>
      </c>
      <c r="F199" s="39" t="s">
        <v>26</v>
      </c>
      <c r="G199" s="27">
        <f>150000-25000-106640</f>
        <v>18360</v>
      </c>
      <c r="H199" s="27">
        <v>18360</v>
      </c>
      <c r="I199" s="27">
        <f t="shared" si="4"/>
        <v>100</v>
      </c>
    </row>
    <row r="200" spans="1:9" ht="52.5" customHeight="1">
      <c r="A200" s="19" t="s">
        <v>340</v>
      </c>
      <c r="B200" s="52" t="s">
        <v>138</v>
      </c>
      <c r="C200" s="52" t="s">
        <v>15</v>
      </c>
      <c r="D200" s="52" t="s">
        <v>15</v>
      </c>
      <c r="E200" s="20" t="s">
        <v>16</v>
      </c>
      <c r="F200" s="52" t="s">
        <v>17</v>
      </c>
      <c r="G200" s="21">
        <f>SUM(G201:G205)</f>
        <v>2344311.88</v>
      </c>
      <c r="H200" s="21">
        <f>SUM(H201:H205)</f>
        <v>2291718.2600000002</v>
      </c>
      <c r="I200" s="21">
        <f aca="true" t="shared" si="5" ref="I200:I207">H200/G200*100</f>
        <v>97.75654338278575</v>
      </c>
    </row>
    <row r="201" spans="1:9" s="9" customFormat="1" ht="116.25" customHeight="1">
      <c r="A201" s="28" t="s">
        <v>369</v>
      </c>
      <c r="B201" s="39" t="s">
        <v>138</v>
      </c>
      <c r="C201" s="39" t="s">
        <v>19</v>
      </c>
      <c r="D201" s="39" t="s">
        <v>44</v>
      </c>
      <c r="E201" s="24" t="s">
        <v>139</v>
      </c>
      <c r="F201" s="39" t="s">
        <v>22</v>
      </c>
      <c r="G201" s="27">
        <f>1411734.22-107546.89</f>
        <v>1304187.33</v>
      </c>
      <c r="H201" s="27">
        <v>1279678.75</v>
      </c>
      <c r="I201" s="27">
        <f t="shared" si="5"/>
        <v>98.12077763399219</v>
      </c>
    </row>
    <row r="202" spans="1:9" ht="70.5" customHeight="1">
      <c r="A202" s="28" t="s">
        <v>341</v>
      </c>
      <c r="B202" s="39" t="s">
        <v>138</v>
      </c>
      <c r="C202" s="39" t="s">
        <v>19</v>
      </c>
      <c r="D202" s="39" t="s">
        <v>44</v>
      </c>
      <c r="E202" s="24" t="s">
        <v>139</v>
      </c>
      <c r="F202" s="39" t="s">
        <v>26</v>
      </c>
      <c r="G202" s="27">
        <f>241535-19500</f>
        <v>222035</v>
      </c>
      <c r="H202" s="27">
        <v>222035</v>
      </c>
      <c r="I202" s="27">
        <f t="shared" si="5"/>
        <v>100</v>
      </c>
    </row>
    <row r="203" spans="1:9" ht="60" customHeight="1">
      <c r="A203" s="28" t="s">
        <v>150</v>
      </c>
      <c r="B203" s="39" t="s">
        <v>138</v>
      </c>
      <c r="C203" s="39" t="s">
        <v>19</v>
      </c>
      <c r="D203" s="39" t="s">
        <v>44</v>
      </c>
      <c r="E203" s="24" t="s">
        <v>139</v>
      </c>
      <c r="F203" s="39" t="s">
        <v>27</v>
      </c>
      <c r="G203" s="27">
        <v>500</v>
      </c>
      <c r="H203" s="27">
        <v>0</v>
      </c>
      <c r="I203" s="27">
        <f t="shared" si="5"/>
        <v>0</v>
      </c>
    </row>
    <row r="204" spans="1:9" ht="114" customHeight="1">
      <c r="A204" s="28" t="s">
        <v>140</v>
      </c>
      <c r="B204" s="39" t="s">
        <v>138</v>
      </c>
      <c r="C204" s="39" t="s">
        <v>19</v>
      </c>
      <c r="D204" s="39" t="s">
        <v>44</v>
      </c>
      <c r="E204" s="24" t="s">
        <v>141</v>
      </c>
      <c r="F204" s="39" t="s">
        <v>22</v>
      </c>
      <c r="G204" s="27">
        <v>682800</v>
      </c>
      <c r="H204" s="27">
        <v>671596.58</v>
      </c>
      <c r="I204" s="27">
        <f t="shared" si="5"/>
        <v>98.35919449326302</v>
      </c>
    </row>
    <row r="205" spans="1:9" ht="164.25" customHeight="1">
      <c r="A205" s="41" t="s">
        <v>342</v>
      </c>
      <c r="B205" s="39" t="s">
        <v>138</v>
      </c>
      <c r="C205" s="39" t="s">
        <v>19</v>
      </c>
      <c r="D205" s="39" t="s">
        <v>44</v>
      </c>
      <c r="E205" s="24" t="s">
        <v>199</v>
      </c>
      <c r="F205" s="39" t="s">
        <v>22</v>
      </c>
      <c r="G205" s="27">
        <v>134789.55</v>
      </c>
      <c r="H205" s="27">
        <v>118407.93</v>
      </c>
      <c r="I205" s="27">
        <f t="shared" si="5"/>
        <v>87.84652074289141</v>
      </c>
    </row>
    <row r="206" spans="1:9" ht="43.5" customHeight="1">
      <c r="A206" s="53" t="s">
        <v>370</v>
      </c>
      <c r="B206" s="52" t="s">
        <v>181</v>
      </c>
      <c r="C206" s="52" t="s">
        <v>15</v>
      </c>
      <c r="D206" s="52" t="s">
        <v>15</v>
      </c>
      <c r="E206" s="20" t="s">
        <v>16</v>
      </c>
      <c r="F206" s="52" t="s">
        <v>17</v>
      </c>
      <c r="G206" s="21">
        <f>SUM(G207:G216)</f>
        <v>9617403.219999999</v>
      </c>
      <c r="H206" s="21">
        <f>SUM(H207:H216)</f>
        <v>9433276.92</v>
      </c>
      <c r="I206" s="21">
        <f t="shared" si="5"/>
        <v>98.08548840276244</v>
      </c>
    </row>
    <row r="207" spans="1:9" ht="52.5" customHeight="1">
      <c r="A207" s="28" t="s">
        <v>158</v>
      </c>
      <c r="B207" s="25" t="s">
        <v>181</v>
      </c>
      <c r="C207" s="25" t="s">
        <v>19</v>
      </c>
      <c r="D207" s="25" t="s">
        <v>33</v>
      </c>
      <c r="E207" s="24" t="s">
        <v>34</v>
      </c>
      <c r="F207" s="25" t="s">
        <v>26</v>
      </c>
      <c r="G207" s="30">
        <v>30000</v>
      </c>
      <c r="H207" s="27">
        <v>29694</v>
      </c>
      <c r="I207" s="27">
        <f t="shared" si="5"/>
        <v>98.98</v>
      </c>
    </row>
    <row r="208" spans="1:9" ht="120.75" customHeight="1">
      <c r="A208" s="28" t="s">
        <v>228</v>
      </c>
      <c r="B208" s="25" t="s">
        <v>181</v>
      </c>
      <c r="C208" s="25" t="s">
        <v>19</v>
      </c>
      <c r="D208" s="25" t="s">
        <v>33</v>
      </c>
      <c r="E208" s="24" t="s">
        <v>25</v>
      </c>
      <c r="F208" s="25" t="s">
        <v>22</v>
      </c>
      <c r="G208" s="27">
        <f>3994399.29+109433.1-200-200-11000+65403.8</f>
        <v>4157836.19</v>
      </c>
      <c r="H208" s="27">
        <v>4127204.98</v>
      </c>
      <c r="I208" s="27">
        <f aca="true" t="shared" si="6" ref="I208:I216">H208/G208*100</f>
        <v>99.26328963912357</v>
      </c>
    </row>
    <row r="209" spans="1:9" ht="79.5" customHeight="1">
      <c r="A209" s="28" t="s">
        <v>229</v>
      </c>
      <c r="B209" s="25" t="s">
        <v>181</v>
      </c>
      <c r="C209" s="25" t="s">
        <v>19</v>
      </c>
      <c r="D209" s="25" t="s">
        <v>33</v>
      </c>
      <c r="E209" s="24" t="s">
        <v>25</v>
      </c>
      <c r="F209" s="25" t="s">
        <v>26</v>
      </c>
      <c r="G209" s="27">
        <f>58900+11000</f>
        <v>69900</v>
      </c>
      <c r="H209" s="27">
        <v>55839.9</v>
      </c>
      <c r="I209" s="27">
        <f t="shared" si="6"/>
        <v>79.88540772532188</v>
      </c>
    </row>
    <row r="210" spans="1:9" ht="62.25" customHeight="1">
      <c r="A210" s="28" t="s">
        <v>334</v>
      </c>
      <c r="B210" s="25" t="s">
        <v>181</v>
      </c>
      <c r="C210" s="25" t="s">
        <v>19</v>
      </c>
      <c r="D210" s="25" t="s">
        <v>33</v>
      </c>
      <c r="E210" s="24" t="s">
        <v>25</v>
      </c>
      <c r="F210" s="25" t="s">
        <v>27</v>
      </c>
      <c r="G210" s="27">
        <f>200+200</f>
        <v>400</v>
      </c>
      <c r="H210" s="27">
        <v>378.38</v>
      </c>
      <c r="I210" s="27">
        <f t="shared" si="6"/>
        <v>94.595</v>
      </c>
    </row>
    <row r="211" spans="1:9" ht="138" customHeight="1">
      <c r="A211" s="41" t="s">
        <v>343</v>
      </c>
      <c r="B211" s="40" t="s">
        <v>181</v>
      </c>
      <c r="C211" s="40" t="s">
        <v>24</v>
      </c>
      <c r="D211" s="40" t="s">
        <v>29</v>
      </c>
      <c r="E211" s="42" t="s">
        <v>42</v>
      </c>
      <c r="F211" s="40" t="s">
        <v>26</v>
      </c>
      <c r="G211" s="29">
        <v>6000</v>
      </c>
      <c r="H211" s="27">
        <v>6000</v>
      </c>
      <c r="I211" s="27">
        <f t="shared" si="6"/>
        <v>100</v>
      </c>
    </row>
    <row r="212" spans="1:9" ht="60" customHeight="1">
      <c r="A212" s="28" t="s">
        <v>43</v>
      </c>
      <c r="B212" s="25" t="s">
        <v>181</v>
      </c>
      <c r="C212" s="25" t="s">
        <v>24</v>
      </c>
      <c r="D212" s="25" t="s">
        <v>44</v>
      </c>
      <c r="E212" s="42" t="s">
        <v>45</v>
      </c>
      <c r="F212" s="40" t="s">
        <v>27</v>
      </c>
      <c r="G212" s="29">
        <v>1300000</v>
      </c>
      <c r="H212" s="27">
        <v>1300000</v>
      </c>
      <c r="I212" s="27">
        <f t="shared" si="6"/>
        <v>100</v>
      </c>
    </row>
    <row r="213" spans="1:9" ht="94.5" customHeight="1">
      <c r="A213" s="28" t="s">
        <v>46</v>
      </c>
      <c r="B213" s="25" t="s">
        <v>181</v>
      </c>
      <c r="C213" s="25" t="s">
        <v>24</v>
      </c>
      <c r="D213" s="25" t="s">
        <v>47</v>
      </c>
      <c r="E213" s="42" t="s">
        <v>48</v>
      </c>
      <c r="F213" s="40" t="s">
        <v>27</v>
      </c>
      <c r="G213" s="29">
        <v>1500000</v>
      </c>
      <c r="H213" s="27">
        <v>1500000</v>
      </c>
      <c r="I213" s="27">
        <f t="shared" si="6"/>
        <v>100</v>
      </c>
    </row>
    <row r="214" spans="1:9" ht="48" customHeight="1">
      <c r="A214" s="28" t="s">
        <v>344</v>
      </c>
      <c r="B214" s="25" t="s">
        <v>181</v>
      </c>
      <c r="C214" s="25" t="s">
        <v>24</v>
      </c>
      <c r="D214" s="25" t="s">
        <v>49</v>
      </c>
      <c r="E214" s="42" t="s">
        <v>50</v>
      </c>
      <c r="F214" s="40" t="s">
        <v>26</v>
      </c>
      <c r="G214" s="29">
        <f>300000+705867.03-235455+54000</f>
        <v>824412.03</v>
      </c>
      <c r="H214" s="27">
        <v>822012</v>
      </c>
      <c r="I214" s="27">
        <f t="shared" si="6"/>
        <v>99.708879794003</v>
      </c>
    </row>
    <row r="215" spans="1:9" ht="59.25" customHeight="1">
      <c r="A215" s="28" t="s">
        <v>159</v>
      </c>
      <c r="B215" s="25" t="s">
        <v>181</v>
      </c>
      <c r="C215" s="25" t="s">
        <v>24</v>
      </c>
      <c r="D215" s="25" t="s">
        <v>49</v>
      </c>
      <c r="E215" s="42" t="s">
        <v>51</v>
      </c>
      <c r="F215" s="40" t="s">
        <v>26</v>
      </c>
      <c r="G215" s="29">
        <v>1195400</v>
      </c>
      <c r="H215" s="27">
        <v>1067149.66</v>
      </c>
      <c r="I215" s="27">
        <f t="shared" si="6"/>
        <v>89.27134515643299</v>
      </c>
    </row>
    <row r="216" spans="1:9" ht="106.5" customHeight="1">
      <c r="A216" s="31" t="s">
        <v>371</v>
      </c>
      <c r="B216" s="25" t="s">
        <v>181</v>
      </c>
      <c r="C216" s="25" t="s">
        <v>24</v>
      </c>
      <c r="D216" s="25" t="s">
        <v>49</v>
      </c>
      <c r="E216" s="24" t="s">
        <v>212</v>
      </c>
      <c r="F216" s="25" t="s">
        <v>26</v>
      </c>
      <c r="G216" s="30">
        <f>587455-54000</f>
        <v>533455</v>
      </c>
      <c r="H216" s="27">
        <v>524998</v>
      </c>
      <c r="I216" s="27">
        <f t="shared" si="6"/>
        <v>98.41467415245897</v>
      </c>
    </row>
    <row r="217" spans="1:9" ht="34.5" customHeight="1">
      <c r="A217" s="19" t="s">
        <v>345</v>
      </c>
      <c r="B217" s="54"/>
      <c r="C217" s="54"/>
      <c r="D217" s="54"/>
      <c r="E217" s="54"/>
      <c r="F217" s="54"/>
      <c r="G217" s="21">
        <f>G15+G87+G93+G100+G185+G200+G206</f>
        <v>264728446.41999996</v>
      </c>
      <c r="H217" s="21">
        <f>H15+H87+H93+H100+H185+H200+H206</f>
        <v>260573252.31999993</v>
      </c>
      <c r="I217" s="21">
        <f>H217/G217*100</f>
        <v>98.43039380308693</v>
      </c>
    </row>
    <row r="218" spans="1:7" s="5" customFormat="1" ht="35.25" customHeight="1">
      <c r="A218" s="7"/>
      <c r="B218" s="8"/>
      <c r="C218" s="8"/>
      <c r="D218" s="8"/>
      <c r="E218" s="8"/>
      <c r="F218" s="8"/>
      <c r="G218" s="17"/>
    </row>
    <row r="219" spans="1:10" s="4" customFormat="1" ht="24" customHeight="1">
      <c r="A219" s="1"/>
      <c r="B219" s="1"/>
      <c r="C219" s="1"/>
      <c r="D219" s="1"/>
      <c r="E219" s="1"/>
      <c r="F219" s="1"/>
      <c r="G219" s="14"/>
      <c r="I219" s="6"/>
      <c r="J219" s="6"/>
    </row>
    <row r="220" spans="1:7" s="4" customFormat="1" ht="18.75">
      <c r="A220" s="1"/>
      <c r="B220" s="1"/>
      <c r="C220" s="1"/>
      <c r="D220" s="1"/>
      <c r="E220" s="1"/>
      <c r="F220" s="1"/>
      <c r="G220" s="3"/>
    </row>
    <row r="221" spans="2:7" ht="18.75">
      <c r="B221" s="1"/>
      <c r="C221" s="1"/>
      <c r="D221" s="1"/>
      <c r="E221" s="1"/>
      <c r="F221" s="1"/>
      <c r="G221" s="11"/>
    </row>
    <row r="222" spans="2:7" ht="18.75">
      <c r="B222" s="1"/>
      <c r="C222" s="1"/>
      <c r="D222" s="1"/>
      <c r="E222" s="1"/>
      <c r="F222" s="1"/>
      <c r="G222" s="3"/>
    </row>
    <row r="223" spans="2:7" ht="18.75">
      <c r="B223" s="1"/>
      <c r="C223" s="1"/>
      <c r="D223" s="1"/>
      <c r="E223" s="1"/>
      <c r="F223" s="1"/>
      <c r="G223" s="3"/>
    </row>
    <row r="224" spans="2:7" ht="18.75">
      <c r="B224" s="1"/>
      <c r="C224" s="1"/>
      <c r="D224" s="1"/>
      <c r="E224" s="1"/>
      <c r="F224" s="1"/>
      <c r="G224" s="3"/>
    </row>
    <row r="225" spans="2:7" ht="18.75">
      <c r="B225" s="1"/>
      <c r="C225" s="1"/>
      <c r="D225" s="1"/>
      <c r="E225" s="1"/>
      <c r="F225" s="1"/>
      <c r="G225" s="3"/>
    </row>
    <row r="226" spans="2:7" ht="18.75">
      <c r="B226" s="1"/>
      <c r="C226" s="1"/>
      <c r="D226" s="1"/>
      <c r="E226" s="1"/>
      <c r="F226" s="1"/>
      <c r="G226" s="3"/>
    </row>
    <row r="227" spans="2:7" ht="18.75">
      <c r="B227" s="1"/>
      <c r="C227" s="1"/>
      <c r="D227" s="1"/>
      <c r="E227" s="1"/>
      <c r="F227" s="1"/>
      <c r="G227" s="3"/>
    </row>
    <row r="228" spans="2:7" ht="18.75">
      <c r="B228" s="1"/>
      <c r="C228" s="1"/>
      <c r="D228" s="1"/>
      <c r="E228" s="1"/>
      <c r="F228" s="1"/>
      <c r="G228" s="3"/>
    </row>
    <row r="229" spans="2:7" ht="18.75">
      <c r="B229" s="1"/>
      <c r="C229" s="1"/>
      <c r="D229" s="1"/>
      <c r="E229" s="1"/>
      <c r="F229" s="1"/>
      <c r="G229" s="3"/>
    </row>
    <row r="230" spans="2:7" ht="18.75">
      <c r="B230" s="1"/>
      <c r="C230" s="1"/>
      <c r="D230" s="1"/>
      <c r="E230" s="1"/>
      <c r="F230" s="1"/>
      <c r="G230" s="3"/>
    </row>
    <row r="231" spans="2:7" ht="18.75">
      <c r="B231" s="1"/>
      <c r="C231" s="1"/>
      <c r="D231" s="1"/>
      <c r="E231" s="1"/>
      <c r="F231" s="1"/>
      <c r="G231" s="3"/>
    </row>
    <row r="232" spans="2:7" ht="18.75">
      <c r="B232" s="1"/>
      <c r="C232" s="1"/>
      <c r="D232" s="1"/>
      <c r="E232" s="1"/>
      <c r="F232" s="1"/>
      <c r="G232" s="3"/>
    </row>
    <row r="233" spans="2:7" ht="18.75">
      <c r="B233" s="1"/>
      <c r="C233" s="1"/>
      <c r="D233" s="1"/>
      <c r="E233" s="1"/>
      <c r="F233" s="1"/>
      <c r="G233" s="3"/>
    </row>
    <row r="234" spans="2:7" ht="18.75">
      <c r="B234" s="1"/>
      <c r="C234" s="1"/>
      <c r="D234" s="1"/>
      <c r="E234" s="1"/>
      <c r="F234" s="1"/>
      <c r="G234" s="3"/>
    </row>
    <row r="235" spans="2:7" ht="18.75">
      <c r="B235" s="1"/>
      <c r="C235" s="1"/>
      <c r="D235" s="1"/>
      <c r="E235" s="1"/>
      <c r="F235" s="1"/>
      <c r="G235" s="3"/>
    </row>
    <row r="236" spans="2:7" ht="18.75">
      <c r="B236" s="1"/>
      <c r="C236" s="1"/>
      <c r="D236" s="1"/>
      <c r="E236" s="1"/>
      <c r="F236" s="1"/>
      <c r="G236" s="3"/>
    </row>
    <row r="237" spans="2:7" ht="18.75">
      <c r="B237" s="1"/>
      <c r="C237" s="1"/>
      <c r="D237" s="1"/>
      <c r="E237" s="1"/>
      <c r="F237" s="1"/>
      <c r="G237" s="3"/>
    </row>
    <row r="238" spans="2:7" ht="18.75">
      <c r="B238" s="1"/>
      <c r="C238" s="1"/>
      <c r="D238" s="1"/>
      <c r="E238" s="1"/>
      <c r="F238" s="1"/>
      <c r="G238" s="3"/>
    </row>
    <row r="239" spans="2:7" ht="18.75">
      <c r="B239" s="1"/>
      <c r="C239" s="1"/>
      <c r="D239" s="1"/>
      <c r="E239" s="1"/>
      <c r="F239" s="1"/>
      <c r="G239" s="3"/>
    </row>
    <row r="240" spans="2:7" ht="18.75">
      <c r="B240" s="1"/>
      <c r="C240" s="1"/>
      <c r="D240" s="1"/>
      <c r="E240" s="1"/>
      <c r="F240" s="1"/>
      <c r="G240" s="3"/>
    </row>
    <row r="241" spans="2:7" ht="18.75">
      <c r="B241" s="1"/>
      <c r="C241" s="1"/>
      <c r="D241" s="1"/>
      <c r="E241" s="1"/>
      <c r="F241" s="1"/>
      <c r="G241" s="3"/>
    </row>
    <row r="242" spans="2:7" ht="18.75">
      <c r="B242" s="1"/>
      <c r="C242" s="1"/>
      <c r="D242" s="1"/>
      <c r="E242" s="1"/>
      <c r="F242" s="1"/>
      <c r="G242" s="3"/>
    </row>
    <row r="243" spans="2:7" ht="18.75">
      <c r="B243" s="1"/>
      <c r="C243" s="1"/>
      <c r="D243" s="1"/>
      <c r="E243" s="1"/>
      <c r="F243" s="1"/>
      <c r="G243" s="3"/>
    </row>
    <row r="244" spans="2:7" ht="18.75">
      <c r="B244" s="1"/>
      <c r="C244" s="1"/>
      <c r="D244" s="1"/>
      <c r="E244" s="1"/>
      <c r="F244" s="1"/>
      <c r="G244" s="3"/>
    </row>
    <row r="245" spans="2:7" ht="18.75">
      <c r="B245" s="1"/>
      <c r="C245" s="1"/>
      <c r="D245" s="1"/>
      <c r="E245" s="1"/>
      <c r="F245" s="1"/>
      <c r="G245" s="3"/>
    </row>
    <row r="246" spans="2:7" ht="18.75">
      <c r="B246" s="1"/>
      <c r="C246" s="1"/>
      <c r="D246" s="1"/>
      <c r="E246" s="1"/>
      <c r="F246" s="1"/>
      <c r="G246" s="3"/>
    </row>
    <row r="247" spans="2:7" ht="18.75">
      <c r="B247" s="1"/>
      <c r="C247" s="1"/>
      <c r="D247" s="1"/>
      <c r="E247" s="1"/>
      <c r="F247" s="1"/>
      <c r="G247" s="3"/>
    </row>
    <row r="248" spans="2:7" ht="18.75">
      <c r="B248" s="1"/>
      <c r="C248" s="1"/>
      <c r="D248" s="1"/>
      <c r="E248" s="1"/>
      <c r="F248" s="1"/>
      <c r="G248" s="3"/>
    </row>
    <row r="249" spans="2:7" ht="18.75">
      <c r="B249" s="1"/>
      <c r="C249" s="1"/>
      <c r="D249" s="1"/>
      <c r="E249" s="1"/>
      <c r="F249" s="1"/>
      <c r="G249" s="3"/>
    </row>
    <row r="250" spans="2:7" ht="18.75">
      <c r="B250" s="1"/>
      <c r="C250" s="1"/>
      <c r="D250" s="1"/>
      <c r="E250" s="1"/>
      <c r="F250" s="1"/>
      <c r="G250" s="3"/>
    </row>
    <row r="251" spans="2:7" ht="18.75">
      <c r="B251" s="1"/>
      <c r="C251" s="1"/>
      <c r="D251" s="1"/>
      <c r="E251" s="1"/>
      <c r="F251" s="1"/>
      <c r="G251" s="3"/>
    </row>
    <row r="252" spans="2:7" ht="18.75">
      <c r="B252" s="1"/>
      <c r="C252" s="1"/>
      <c r="D252" s="1"/>
      <c r="E252" s="1"/>
      <c r="F252" s="1"/>
      <c r="G252" s="3"/>
    </row>
    <row r="253" spans="2:7" ht="18.75">
      <c r="B253" s="1"/>
      <c r="C253" s="1"/>
      <c r="D253" s="1"/>
      <c r="E253" s="1"/>
      <c r="F253" s="1"/>
      <c r="G253" s="3"/>
    </row>
    <row r="254" spans="2:7" ht="18.75">
      <c r="B254" s="1"/>
      <c r="C254" s="1"/>
      <c r="D254" s="1"/>
      <c r="E254" s="1"/>
      <c r="F254" s="1"/>
      <c r="G254" s="3"/>
    </row>
    <row r="255" spans="2:7" ht="18.75">
      <c r="B255" s="1"/>
      <c r="C255" s="1"/>
      <c r="D255" s="1"/>
      <c r="E255" s="1"/>
      <c r="F255" s="1"/>
      <c r="G255" s="3"/>
    </row>
    <row r="256" spans="2:7" ht="18.75">
      <c r="B256" s="1"/>
      <c r="C256" s="1"/>
      <c r="D256" s="1"/>
      <c r="E256" s="1"/>
      <c r="F256" s="1"/>
      <c r="G256" s="3"/>
    </row>
    <row r="257" spans="2:7" ht="18.75">
      <c r="B257" s="1"/>
      <c r="C257" s="1"/>
      <c r="D257" s="1"/>
      <c r="E257" s="1"/>
      <c r="F257" s="1"/>
      <c r="G257" s="3"/>
    </row>
    <row r="258" spans="2:7" ht="18.75">
      <c r="B258" s="1"/>
      <c r="C258" s="1"/>
      <c r="D258" s="1"/>
      <c r="E258" s="1"/>
      <c r="F258" s="1"/>
      <c r="G258" s="3"/>
    </row>
    <row r="259" spans="2:7" ht="18.75">
      <c r="B259" s="1"/>
      <c r="C259" s="1"/>
      <c r="D259" s="1"/>
      <c r="E259" s="1"/>
      <c r="F259" s="1"/>
      <c r="G259" s="3"/>
    </row>
    <row r="260" spans="2:7" ht="18.75">
      <c r="B260" s="1"/>
      <c r="C260" s="1"/>
      <c r="D260" s="1"/>
      <c r="E260" s="1"/>
      <c r="F260" s="1"/>
      <c r="G260" s="3"/>
    </row>
    <row r="261" spans="2:7" ht="18.75">
      <c r="B261" s="1"/>
      <c r="C261" s="1"/>
      <c r="D261" s="1"/>
      <c r="E261" s="1"/>
      <c r="F261" s="1"/>
      <c r="G261" s="3"/>
    </row>
    <row r="262" spans="2:7" ht="18.75">
      <c r="B262" s="1"/>
      <c r="C262" s="1"/>
      <c r="D262" s="1"/>
      <c r="E262" s="1"/>
      <c r="F262" s="1"/>
      <c r="G262" s="3"/>
    </row>
    <row r="263" spans="2:7" ht="18.75">
      <c r="B263" s="1"/>
      <c r="C263" s="1"/>
      <c r="D263" s="1"/>
      <c r="E263" s="1"/>
      <c r="F263" s="1"/>
      <c r="G263" s="3"/>
    </row>
    <row r="264" spans="2:7" ht="18.75">
      <c r="B264" s="1"/>
      <c r="C264" s="1"/>
      <c r="D264" s="1"/>
      <c r="E264" s="1"/>
      <c r="F264" s="1"/>
      <c r="G264" s="10"/>
    </row>
    <row r="265" spans="2:7" ht="18.75">
      <c r="B265" s="1"/>
      <c r="C265" s="1"/>
      <c r="D265" s="1"/>
      <c r="E265" s="1"/>
      <c r="F265" s="1"/>
      <c r="G265" s="10"/>
    </row>
    <row r="266" spans="2:7" ht="18.75">
      <c r="B266" s="1"/>
      <c r="C266" s="1"/>
      <c r="D266" s="1"/>
      <c r="E266" s="1"/>
      <c r="F266" s="1"/>
      <c r="G266" s="3"/>
    </row>
    <row r="267" spans="2:7" ht="18.75">
      <c r="B267" s="1"/>
      <c r="C267" s="1"/>
      <c r="D267" s="1"/>
      <c r="E267" s="1"/>
      <c r="F267" s="1"/>
      <c r="G267" s="3"/>
    </row>
    <row r="268" spans="2:7" ht="18.75">
      <c r="B268" s="1"/>
      <c r="C268" s="1"/>
      <c r="D268" s="1"/>
      <c r="E268" s="1"/>
      <c r="F268" s="1"/>
      <c r="G268" s="3"/>
    </row>
    <row r="269" spans="2:7" ht="18.75">
      <c r="B269" s="1"/>
      <c r="C269" s="1"/>
      <c r="D269" s="1"/>
      <c r="E269" s="1"/>
      <c r="F269" s="1"/>
      <c r="G269" s="3"/>
    </row>
    <row r="270" spans="2:7" ht="18.75">
      <c r="B270" s="1"/>
      <c r="C270" s="1"/>
      <c r="D270" s="1"/>
      <c r="E270" s="1"/>
      <c r="F270" s="1"/>
      <c r="G270" s="3"/>
    </row>
    <row r="271" spans="2:7" ht="18.75">
      <c r="B271" s="1"/>
      <c r="C271" s="1"/>
      <c r="D271" s="1"/>
      <c r="E271" s="1"/>
      <c r="F271" s="1"/>
      <c r="G271" s="3"/>
    </row>
    <row r="272" spans="2:7" ht="18.75">
      <c r="B272" s="1"/>
      <c r="C272" s="1"/>
      <c r="D272" s="1"/>
      <c r="E272" s="1"/>
      <c r="F272" s="1"/>
      <c r="G272" s="3"/>
    </row>
    <row r="273" spans="2:7" ht="18.75">
      <c r="B273" s="1"/>
      <c r="C273" s="1"/>
      <c r="D273" s="1"/>
      <c r="E273" s="1"/>
      <c r="F273" s="1"/>
      <c r="G273" s="3"/>
    </row>
    <row r="274" spans="2:7" ht="18.75">
      <c r="B274" s="1"/>
      <c r="C274" s="1"/>
      <c r="D274" s="1"/>
      <c r="E274" s="1"/>
      <c r="F274" s="1"/>
      <c r="G274" s="3"/>
    </row>
    <row r="275" spans="2:7" ht="18.75">
      <c r="B275" s="1"/>
      <c r="C275" s="1"/>
      <c r="D275" s="1"/>
      <c r="E275" s="1"/>
      <c r="F275" s="1"/>
      <c r="G275" s="3"/>
    </row>
    <row r="276" spans="2:7" ht="18.75">
      <c r="B276" s="1"/>
      <c r="C276" s="1"/>
      <c r="D276" s="1"/>
      <c r="E276" s="1"/>
      <c r="F276" s="1"/>
      <c r="G276" s="3"/>
    </row>
    <row r="277" spans="2:7" ht="18.75">
      <c r="B277" s="1"/>
      <c r="C277" s="1"/>
      <c r="D277" s="1"/>
      <c r="E277" s="1"/>
      <c r="F277" s="1"/>
      <c r="G277" s="3"/>
    </row>
    <row r="278" spans="2:7" ht="18.75">
      <c r="B278" s="1"/>
      <c r="C278" s="1"/>
      <c r="D278" s="1"/>
      <c r="E278" s="1"/>
      <c r="F278" s="1"/>
      <c r="G278" s="3"/>
    </row>
    <row r="279" spans="2:7" ht="18.75">
      <c r="B279" s="1"/>
      <c r="C279" s="1"/>
      <c r="D279" s="1"/>
      <c r="E279" s="1"/>
      <c r="F279" s="1"/>
      <c r="G279" s="3"/>
    </row>
    <row r="280" spans="2:7" ht="18.75">
      <c r="B280" s="1"/>
      <c r="C280" s="1"/>
      <c r="D280" s="1"/>
      <c r="E280" s="1"/>
      <c r="F280" s="1"/>
      <c r="G280" s="3"/>
    </row>
    <row r="281" spans="2:7" ht="18.75">
      <c r="B281" s="1"/>
      <c r="C281" s="1"/>
      <c r="D281" s="1"/>
      <c r="E281" s="1"/>
      <c r="F281" s="1"/>
      <c r="G281" s="3"/>
    </row>
    <row r="282" spans="2:7" ht="18.75">
      <c r="B282" s="1"/>
      <c r="C282" s="1"/>
      <c r="D282" s="1"/>
      <c r="E282" s="1"/>
      <c r="F282" s="1"/>
      <c r="G282" s="3"/>
    </row>
    <row r="283" spans="2:7" ht="18.75">
      <c r="B283" s="1"/>
      <c r="C283" s="1"/>
      <c r="D283" s="1"/>
      <c r="E283" s="1"/>
      <c r="F283" s="1"/>
      <c r="G283" s="3"/>
    </row>
    <row r="284" spans="2:7" ht="18.75">
      <c r="B284" s="1"/>
      <c r="C284" s="1"/>
      <c r="D284" s="1"/>
      <c r="E284" s="1"/>
      <c r="F284" s="1"/>
      <c r="G284" s="3"/>
    </row>
    <row r="285" spans="2:7" ht="18.75">
      <c r="B285" s="1"/>
      <c r="C285" s="1"/>
      <c r="D285" s="1"/>
      <c r="E285" s="1"/>
      <c r="F285" s="1"/>
      <c r="G285" s="3"/>
    </row>
    <row r="286" spans="2:7" ht="18.75">
      <c r="B286" s="1"/>
      <c r="C286" s="1"/>
      <c r="D286" s="1"/>
      <c r="E286" s="1"/>
      <c r="F286" s="1"/>
      <c r="G286" s="3"/>
    </row>
    <row r="287" spans="2:7" ht="18.75">
      <c r="B287" s="1"/>
      <c r="C287" s="1"/>
      <c r="D287" s="1"/>
      <c r="E287" s="1"/>
      <c r="F287" s="1"/>
      <c r="G287" s="3"/>
    </row>
    <row r="288" spans="2:7" ht="18.75">
      <c r="B288" s="1"/>
      <c r="C288" s="1"/>
      <c r="D288" s="1"/>
      <c r="E288" s="1"/>
      <c r="F288" s="1"/>
      <c r="G288" s="3"/>
    </row>
    <row r="289" spans="2:7" ht="18.75">
      <c r="B289" s="1"/>
      <c r="C289" s="1"/>
      <c r="D289" s="1"/>
      <c r="E289" s="1"/>
      <c r="F289" s="1"/>
      <c r="G289" s="3"/>
    </row>
    <row r="290" spans="2:7" ht="18.75">
      <c r="B290" s="1"/>
      <c r="C290" s="1"/>
      <c r="D290" s="1"/>
      <c r="E290" s="1"/>
      <c r="F290" s="1"/>
      <c r="G290" s="3"/>
    </row>
    <row r="291" spans="2:7" ht="18.75">
      <c r="B291" s="1"/>
      <c r="C291" s="1"/>
      <c r="D291" s="1"/>
      <c r="E291" s="1"/>
      <c r="F291" s="1"/>
      <c r="G291" s="3"/>
    </row>
    <row r="292" spans="2:7" ht="18.75">
      <c r="B292" s="1"/>
      <c r="C292" s="1"/>
      <c r="D292" s="1"/>
      <c r="E292" s="1"/>
      <c r="F292" s="1"/>
      <c r="G292" s="3"/>
    </row>
    <row r="293" spans="2:7" ht="18.75">
      <c r="B293" s="1"/>
      <c r="C293" s="1"/>
      <c r="D293" s="1"/>
      <c r="E293" s="1"/>
      <c r="F293" s="1"/>
      <c r="G293" s="3"/>
    </row>
    <row r="294" spans="2:7" ht="18.75">
      <c r="B294" s="1"/>
      <c r="C294" s="1"/>
      <c r="D294" s="1"/>
      <c r="E294" s="1"/>
      <c r="F294" s="1"/>
      <c r="G294" s="3"/>
    </row>
    <row r="295" spans="2:7" ht="18.75">
      <c r="B295" s="1"/>
      <c r="C295" s="1"/>
      <c r="D295" s="1"/>
      <c r="E295" s="1"/>
      <c r="F295" s="1"/>
      <c r="G295" s="3"/>
    </row>
    <row r="296" spans="2:7" ht="18.75">
      <c r="B296" s="1"/>
      <c r="C296" s="1"/>
      <c r="D296" s="1"/>
      <c r="E296" s="1"/>
      <c r="F296" s="1"/>
      <c r="G296" s="3"/>
    </row>
    <row r="297" spans="2:7" ht="18.75">
      <c r="B297" s="1"/>
      <c r="C297" s="1"/>
      <c r="D297" s="1"/>
      <c r="E297" s="1"/>
      <c r="F297" s="1"/>
      <c r="G297" s="3"/>
    </row>
    <row r="298" spans="2:7" ht="18.75">
      <c r="B298" s="1"/>
      <c r="C298" s="1"/>
      <c r="D298" s="1"/>
      <c r="E298" s="1"/>
      <c r="F298" s="1"/>
      <c r="G298" s="3"/>
    </row>
    <row r="299" spans="2:7" ht="18.75">
      <c r="B299" s="1"/>
      <c r="C299" s="1"/>
      <c r="D299" s="1"/>
      <c r="E299" s="1"/>
      <c r="F299" s="1"/>
      <c r="G299" s="3"/>
    </row>
    <row r="300" spans="2:7" ht="18.75">
      <c r="B300" s="1"/>
      <c r="C300" s="1"/>
      <c r="D300" s="1"/>
      <c r="E300" s="1"/>
      <c r="F300" s="1"/>
      <c r="G300" s="3"/>
    </row>
    <row r="301" spans="2:7" ht="18.75">
      <c r="B301" s="1"/>
      <c r="C301" s="1"/>
      <c r="D301" s="1"/>
      <c r="E301" s="1"/>
      <c r="F301" s="1"/>
      <c r="G301" s="3"/>
    </row>
    <row r="302" spans="2:7" ht="18.75">
      <c r="B302" s="1"/>
      <c r="C302" s="1"/>
      <c r="D302" s="1"/>
      <c r="E302" s="1"/>
      <c r="F302" s="1"/>
      <c r="G302" s="3"/>
    </row>
    <row r="303" spans="2:7" ht="18.75">
      <c r="B303" s="1"/>
      <c r="C303" s="1"/>
      <c r="D303" s="1"/>
      <c r="E303" s="1"/>
      <c r="F303" s="1"/>
      <c r="G303" s="3"/>
    </row>
    <row r="304" spans="2:7" ht="18.75">
      <c r="B304" s="1"/>
      <c r="C304" s="1"/>
      <c r="D304" s="1"/>
      <c r="E304" s="1"/>
      <c r="F304" s="1"/>
      <c r="G304" s="3"/>
    </row>
    <row r="305" spans="2:7" ht="18.75">
      <c r="B305" s="1"/>
      <c r="C305" s="1"/>
      <c r="D305" s="1"/>
      <c r="E305" s="1"/>
      <c r="F305" s="1"/>
      <c r="G305" s="3"/>
    </row>
    <row r="306" spans="2:7" ht="18.75">
      <c r="B306" s="1"/>
      <c r="C306" s="1"/>
      <c r="D306" s="1"/>
      <c r="E306" s="1"/>
      <c r="F306" s="1"/>
      <c r="G306" s="3"/>
    </row>
    <row r="307" spans="2:7" ht="18.75">
      <c r="B307" s="1"/>
      <c r="C307" s="1"/>
      <c r="D307" s="1"/>
      <c r="E307" s="1"/>
      <c r="F307" s="1"/>
      <c r="G307" s="3"/>
    </row>
    <row r="308" spans="2:7" ht="18.75">
      <c r="B308" s="1"/>
      <c r="C308" s="1"/>
      <c r="D308" s="1"/>
      <c r="E308" s="1"/>
      <c r="F308" s="1"/>
      <c r="G308" s="3"/>
    </row>
  </sheetData>
  <sheetProtection/>
  <mergeCells count="19">
    <mergeCell ref="E8:I8"/>
    <mergeCell ref="A11:G11"/>
    <mergeCell ref="G12:G13"/>
    <mergeCell ref="B12:B13"/>
    <mergeCell ref="I12:I13"/>
    <mergeCell ref="A10:I10"/>
    <mergeCell ref="A12:A13"/>
    <mergeCell ref="D12:D13"/>
    <mergeCell ref="C12:C13"/>
    <mergeCell ref="E1:I1"/>
    <mergeCell ref="E2:I2"/>
    <mergeCell ref="E3:I3"/>
    <mergeCell ref="E4:I4"/>
    <mergeCell ref="E5:I5"/>
    <mergeCell ref="H12:H13"/>
    <mergeCell ref="F12:F13"/>
    <mergeCell ref="E12:E13"/>
    <mergeCell ref="E6:I6"/>
    <mergeCell ref="E7:I7"/>
  </mergeCells>
  <printOptions/>
  <pageMargins left="1.1023622047244095" right="0.7874015748031497" top="0.7874015748031497" bottom="0.7874015748031497" header="0.31496062992125984" footer="0.31496062992125984"/>
  <pageSetup horizontalDpi="180" verticalDpi="18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2017-05-30T11:13:54Z</dcterms:modified>
  <cp:category/>
  <cp:version/>
  <cp:contentType/>
  <cp:contentStatus/>
</cp:coreProperties>
</file>